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jeanl\Dropbox\BONIMENTEURS\SUBVENTIONS\Contrat (programme)\Envoyé\"/>
    </mc:Choice>
  </mc:AlternateContent>
  <xr:revisionPtr revIDLastSave="0" documentId="13_ncr:1_{10EDE815-6A5B-4650-82C3-A782459FD5E2}" xr6:coauthVersionLast="47" xr6:coauthVersionMax="47" xr10:uidLastSave="{00000000-0000-0000-0000-000000000000}"/>
  <workbookProtection workbookAlgorithmName="SHA-512" workbookHashValue="o/trz7wka6XPUWL+cNQYDn4o/JI0/pfAIJ/wNGT4v/QQ/det8fTCc0TN38GiBCaqrI3hqwGdTurycAs0SlD2tA==" workbookSaltValue="Md0IpiTFaNWJbfCfk0Utew==" workbookSpinCount="100000" lockStructure="1"/>
  <bookViews>
    <workbookView xWindow="-108" yWindow="-108" windowWidth="23256" windowHeight="12456" tabRatio="768" firstSheet="1" activeTab="1" xr2:uid="{C8E2407B-E1FC-4672-B5EE-912BB7DBFF4D}"/>
    <workbookView xWindow="-108" yWindow="-108" windowWidth="23256" windowHeight="12456" tabRatio="704" firstSheet="2" activeTab="2" xr2:uid="{BE6FD5B2-9A5F-4410-AD42-E264678BB8A5}"/>
  </bookViews>
  <sheets>
    <sheet name="Remarques préalables" sheetId="15" state="hidden" r:id="rId1"/>
    <sheet name="Charges" sheetId="14" r:id="rId2"/>
    <sheet name="Produits" sheetId="16" r:id="rId3"/>
    <sheet name="Check Budget simplifié (2)" sheetId="23" state="hidden" r:id="rId4"/>
    <sheet name="Calendrier" sheetId="17" state="hidden" r:id="rId5"/>
    <sheet name="Budget simplifié" sheetId="19" state="hidden" r:id="rId6"/>
    <sheet name="VENTES PASSEES" sheetId="22" state="hidden" r:id="rId7"/>
    <sheet name="PROJECTIONS" sheetId="20" state="hidden" r:id="rId8"/>
    <sheet name="BAREMES UTILISES" sheetId="21" state="hidden" r:id="rId9"/>
    <sheet name="Métiers" sheetId="12" state="hidden" r:id="rId10"/>
    <sheet name="GIEC" sheetId="11" state="hidden" r:id="rId11"/>
    <sheet name="22 histoires au coin de la rue" sheetId="13" state="hidden" r:id="rId12"/>
    <sheet name="Test salaire" sheetId="9" state="hidden" r:id="rId13"/>
  </sheets>
  <definedNames>
    <definedName name="_xlnm._FilterDatabase" localSheetId="1" hidden="1">Charges!$A$5:$H$218</definedName>
    <definedName name="_xlnm.Print_Area" localSheetId="11">'22 histoires au coin de la rue'!$A$1:$K$209</definedName>
    <definedName name="_xlnm.Print_Area" localSheetId="5">'Budget simplifié'!$S$2:$AK$47</definedName>
    <definedName name="_xlnm.Print_Area" localSheetId="4">Calendrier!$A$1:$G$16</definedName>
    <definedName name="_xlnm.Print_Area" localSheetId="1">Charges!$A$1:$H$238</definedName>
    <definedName name="_xlnm.Print_Area" localSheetId="3">'Check Budget simplifié (2)'!$S$2:$AK$47</definedName>
    <definedName name="_xlnm.Print_Area" localSheetId="10">GIEC!$A$1:$K$208</definedName>
    <definedName name="_xlnm.Print_Area" localSheetId="9">Métiers!$A$1:$K$208</definedName>
    <definedName name="_xlnm.Print_Area" localSheetId="2">Produits!$A$1:$G$174</definedName>
  </definedNames>
  <calcPr calcId="181029"/>
</workbook>
</file>

<file path=xl/calcChain.xml><?xml version="1.0" encoding="utf-8"?>
<calcChain xmlns="http://schemas.openxmlformats.org/spreadsheetml/2006/main">
  <c r="N13" i="23" l="1"/>
  <c r="G183" i="14"/>
  <c r="G196" i="14"/>
  <c r="G171" i="14"/>
  <c r="F182" i="14"/>
  <c r="M12" i="23" s="1"/>
  <c r="G195" i="14"/>
  <c r="G182" i="14" s="1"/>
  <c r="N12" i="23" s="1"/>
  <c r="AB10" i="19"/>
  <c r="AB9" i="19"/>
  <c r="AB8" i="19"/>
  <c r="U8" i="19"/>
  <c r="X4" i="19" s="1"/>
  <c r="U15" i="19"/>
  <c r="X11" i="19" s="1"/>
  <c r="AA7" i="19"/>
  <c r="AA13" i="19"/>
  <c r="X8" i="19"/>
  <c r="AA11" i="19"/>
  <c r="AA10" i="19"/>
  <c r="AA9" i="19"/>
  <c r="AA8" i="19"/>
  <c r="U10" i="19"/>
  <c r="AA6" i="19"/>
  <c r="AA5" i="19"/>
  <c r="AA4" i="19"/>
  <c r="AA12" i="19"/>
  <c r="AA14" i="19"/>
  <c r="G179" i="16"/>
  <c r="F179" i="16"/>
  <c r="G178" i="16"/>
  <c r="F178" i="16"/>
  <c r="M8" i="23"/>
  <c r="P26" i="21"/>
  <c r="O26" i="21" s="1"/>
  <c r="E25" i="21"/>
  <c r="N12" i="19"/>
  <c r="R12" i="19"/>
  <c r="R37" i="19"/>
  <c r="N37" i="19"/>
  <c r="R36" i="19"/>
  <c r="N36" i="19"/>
  <c r="R20" i="19"/>
  <c r="R21" i="19"/>
  <c r="R22" i="19"/>
  <c r="R23" i="19"/>
  <c r="R25" i="19"/>
  <c r="R26" i="19"/>
  <c r="R19" i="19"/>
  <c r="R9" i="19"/>
  <c r="R10" i="19"/>
  <c r="R11" i="19"/>
  <c r="I20" i="19"/>
  <c r="I21" i="19"/>
  <c r="I14" i="19"/>
  <c r="I15" i="19"/>
  <c r="I13" i="19"/>
  <c r="I8" i="19"/>
  <c r="G110" i="14" l="1"/>
  <c r="F171" i="14"/>
  <c r="F166" i="14" s="1"/>
  <c r="E7" i="19"/>
  <c r="F7" i="19" l="1"/>
  <c r="G7" i="19" s="1"/>
  <c r="H7" i="19" s="1"/>
  <c r="I7" i="19"/>
  <c r="F124" i="14"/>
  <c r="M37" i="19"/>
  <c r="F41" i="16"/>
  <c r="G41" i="16"/>
  <c r="G40" i="16" s="1"/>
  <c r="G180" i="16" s="1"/>
  <c r="E21" i="23"/>
  <c r="D21" i="23"/>
  <c r="E20" i="23"/>
  <c r="D20" i="23"/>
  <c r="F16" i="16"/>
  <c r="D14" i="23"/>
  <c r="E14" i="23"/>
  <c r="E13" i="23"/>
  <c r="D13" i="23"/>
  <c r="E8" i="23"/>
  <c r="D8" i="23"/>
  <c r="E7" i="23"/>
  <c r="D7" i="23"/>
  <c r="F109" i="14"/>
  <c r="G109" i="14"/>
  <c r="G17" i="14"/>
  <c r="G15" i="14" s="1"/>
  <c r="N23" i="23"/>
  <c r="N30" i="23"/>
  <c r="G76" i="14"/>
  <c r="N15" i="19"/>
  <c r="M15" i="19"/>
  <c r="R15" i="19" s="1"/>
  <c r="G200" i="14" l="1"/>
  <c r="G168" i="14"/>
  <c r="G160" i="14"/>
  <c r="G161" i="14"/>
  <c r="G162" i="14"/>
  <c r="G163" i="14"/>
  <c r="G164" i="14"/>
  <c r="G165" i="14"/>
  <c r="G159" i="14"/>
  <c r="N9" i="23"/>
  <c r="N10" i="23"/>
  <c r="N11" i="23"/>
  <c r="N14" i="23"/>
  <c r="N15" i="23"/>
  <c r="M7" i="23"/>
  <c r="M6" i="23"/>
  <c r="M5" i="23"/>
  <c r="M15" i="23"/>
  <c r="M29" i="23"/>
  <c r="G59" i="14" l="1"/>
  <c r="N24" i="23"/>
  <c r="M24" i="23"/>
  <c r="M9" i="23"/>
  <c r="O9" i="23"/>
  <c r="P9" i="23"/>
  <c r="Q9" i="23"/>
  <c r="M10" i="23"/>
  <c r="O10" i="23"/>
  <c r="P10" i="23"/>
  <c r="Q10" i="23"/>
  <c r="M11" i="23"/>
  <c r="O11" i="23"/>
  <c r="P11" i="23"/>
  <c r="Q11" i="23"/>
  <c r="O12" i="23"/>
  <c r="P12" i="23"/>
  <c r="Q12" i="23"/>
  <c r="M13" i="23"/>
  <c r="P13" i="23"/>
  <c r="Q13" i="23"/>
  <c r="M14" i="23"/>
  <c r="O14" i="23"/>
  <c r="P14" i="23"/>
  <c r="O15" i="23"/>
  <c r="P15" i="23"/>
  <c r="Q15" i="23"/>
  <c r="O16" i="23"/>
  <c r="P16" i="23"/>
  <c r="Q16" i="23"/>
  <c r="O17" i="23"/>
  <c r="P17" i="23"/>
  <c r="Q17" i="23"/>
  <c r="O19" i="23"/>
  <c r="P19" i="23"/>
  <c r="Q19" i="23"/>
  <c r="O20" i="23"/>
  <c r="P20" i="23"/>
  <c r="Q20" i="23"/>
  <c r="O21" i="23"/>
  <c r="P21" i="23"/>
  <c r="Q21" i="23"/>
  <c r="O22" i="23"/>
  <c r="P22" i="23"/>
  <c r="Q22" i="23"/>
  <c r="M23" i="23"/>
  <c r="O23" i="23"/>
  <c r="P23" i="23"/>
  <c r="Q23" i="23"/>
  <c r="O24" i="23"/>
  <c r="P24" i="23"/>
  <c r="Q24" i="23"/>
  <c r="O25" i="23"/>
  <c r="P25" i="23"/>
  <c r="Q25" i="23"/>
  <c r="O26" i="23"/>
  <c r="P26" i="23"/>
  <c r="Q26" i="23"/>
  <c r="M27" i="23"/>
  <c r="N27" i="23"/>
  <c r="O27" i="23"/>
  <c r="P27" i="23"/>
  <c r="Q27" i="23"/>
  <c r="M28" i="23"/>
  <c r="N28" i="23"/>
  <c r="O28" i="23"/>
  <c r="P28" i="23"/>
  <c r="Q28" i="23"/>
  <c r="O29" i="23"/>
  <c r="P29" i="23"/>
  <c r="Q29" i="23"/>
  <c r="M30" i="23"/>
  <c r="P30" i="23"/>
  <c r="Q30" i="23"/>
  <c r="M31" i="23"/>
  <c r="N31" i="23"/>
  <c r="O31" i="23"/>
  <c r="P31" i="23"/>
  <c r="O32" i="23"/>
  <c r="P32" i="23"/>
  <c r="Q32" i="23"/>
  <c r="L6" i="23"/>
  <c r="L7" i="23"/>
  <c r="L8" i="23"/>
  <c r="L9" i="23"/>
  <c r="L10" i="23"/>
  <c r="L11" i="23"/>
  <c r="L12" i="23"/>
  <c r="L13" i="23"/>
  <c r="L14" i="23"/>
  <c r="L16" i="23"/>
  <c r="L17" i="23"/>
  <c r="L19" i="23"/>
  <c r="L20" i="23"/>
  <c r="L21" i="23"/>
  <c r="L22" i="23"/>
  <c r="L23" i="23"/>
  <c r="L24" i="23"/>
  <c r="L25" i="23"/>
  <c r="L27" i="23"/>
  <c r="L28" i="23"/>
  <c r="L29" i="23"/>
  <c r="L30" i="23"/>
  <c r="L31" i="23"/>
  <c r="L32" i="23"/>
  <c r="L5" i="23"/>
  <c r="D5" i="23"/>
  <c r="E5" i="23"/>
  <c r="F5" i="23"/>
  <c r="G5" i="23"/>
  <c r="H5" i="23"/>
  <c r="D6" i="23"/>
  <c r="E6" i="23"/>
  <c r="F6" i="23"/>
  <c r="G6" i="23"/>
  <c r="H6" i="23"/>
  <c r="F7" i="23"/>
  <c r="G7" i="23"/>
  <c r="H7" i="23"/>
  <c r="F8" i="23"/>
  <c r="G8" i="23"/>
  <c r="H8" i="23"/>
  <c r="F10" i="23"/>
  <c r="G10" i="23"/>
  <c r="H10" i="23"/>
  <c r="F11" i="23"/>
  <c r="G11" i="23"/>
  <c r="H11" i="23"/>
  <c r="D12" i="23"/>
  <c r="E12" i="23"/>
  <c r="F12" i="23"/>
  <c r="G12" i="23"/>
  <c r="H12" i="23"/>
  <c r="F13" i="23"/>
  <c r="G13" i="23"/>
  <c r="H13" i="23"/>
  <c r="F14" i="23"/>
  <c r="G14" i="23"/>
  <c r="H14" i="23"/>
  <c r="D15" i="23"/>
  <c r="E15" i="23"/>
  <c r="F15" i="23"/>
  <c r="G15" i="23"/>
  <c r="H15" i="23"/>
  <c r="F17" i="23"/>
  <c r="G17" i="23"/>
  <c r="H17" i="23"/>
  <c r="F18" i="23"/>
  <c r="G18" i="23"/>
  <c r="H18" i="23"/>
  <c r="F19" i="23"/>
  <c r="G19" i="23"/>
  <c r="H19" i="23"/>
  <c r="F20" i="23"/>
  <c r="G20" i="23"/>
  <c r="H20" i="23"/>
  <c r="F21" i="23"/>
  <c r="G21" i="23"/>
  <c r="H21" i="23"/>
  <c r="C6" i="23"/>
  <c r="C7" i="23"/>
  <c r="C8" i="23"/>
  <c r="C10" i="23"/>
  <c r="C11" i="23"/>
  <c r="C12" i="23"/>
  <c r="C13" i="23"/>
  <c r="C14" i="23"/>
  <c r="C15" i="23"/>
  <c r="C17" i="23"/>
  <c r="C18" i="23"/>
  <c r="C20" i="23"/>
  <c r="C21" i="23"/>
  <c r="C5" i="23"/>
  <c r="L17" i="22"/>
  <c r="N6" i="19" l="1"/>
  <c r="N7" i="19"/>
  <c r="N8" i="19"/>
  <c r="N8" i="23" s="1"/>
  <c r="N5" i="19"/>
  <c r="K32" i="12"/>
  <c r="H32" i="12"/>
  <c r="H33" i="12"/>
  <c r="C16" i="19"/>
  <c r="C16" i="23" s="1"/>
  <c r="N5" i="23" l="1"/>
  <c r="N7" i="23"/>
  <c r="N41" i="19"/>
  <c r="N6" i="23"/>
  <c r="N39" i="19"/>
  <c r="O6" i="19"/>
  <c r="O5" i="19"/>
  <c r="O7" i="19"/>
  <c r="O8" i="19"/>
  <c r="N40" i="19"/>
  <c r="N43" i="19"/>
  <c r="M42" i="19"/>
  <c r="M41" i="19"/>
  <c r="M43" i="19"/>
  <c r="M40" i="19"/>
  <c r="M39" i="19"/>
  <c r="M36" i="19"/>
  <c r="F22" i="19"/>
  <c r="F22" i="23" s="1"/>
  <c r="G22" i="19"/>
  <c r="G22" i="23" s="1"/>
  <c r="H22" i="19"/>
  <c r="H22" i="23" s="1"/>
  <c r="C58" i="22"/>
  <c r="C59" i="22"/>
  <c r="C60" i="22"/>
  <c r="C61" i="22"/>
  <c r="C62" i="22"/>
  <c r="C63" i="22"/>
  <c r="C64" i="22"/>
  <c r="C65" i="22"/>
  <c r="C66" i="22"/>
  <c r="C67" i="22"/>
  <c r="C68" i="22"/>
  <c r="C69" i="22"/>
  <c r="C70" i="22"/>
  <c r="C57" i="22"/>
  <c r="E58" i="22"/>
  <c r="E59" i="22"/>
  <c r="E60" i="22"/>
  <c r="E61" i="22"/>
  <c r="E62" i="22"/>
  <c r="E63" i="22"/>
  <c r="E64" i="22"/>
  <c r="E65" i="22"/>
  <c r="E66" i="22"/>
  <c r="E67" i="22"/>
  <c r="E68" i="22"/>
  <c r="E69" i="22"/>
  <c r="E70" i="22"/>
  <c r="E57" i="22"/>
  <c r="E40" i="22"/>
  <c r="E41" i="22"/>
  <c r="E42" i="22"/>
  <c r="E43" i="22"/>
  <c r="E44" i="22"/>
  <c r="E45" i="22"/>
  <c r="E46" i="22"/>
  <c r="E47" i="22"/>
  <c r="E48" i="22"/>
  <c r="E49" i="22"/>
  <c r="E50" i="22"/>
  <c r="E51" i="22"/>
  <c r="E52" i="22"/>
  <c r="E39" i="22"/>
  <c r="J44" i="22"/>
  <c r="O7" i="23" l="1"/>
  <c r="P7" i="19"/>
  <c r="O5" i="23"/>
  <c r="P5" i="19"/>
  <c r="O6" i="23"/>
  <c r="P6" i="19"/>
  <c r="O8" i="23"/>
  <c r="P8" i="19"/>
  <c r="H71" i="11"/>
  <c r="H72" i="11" s="1"/>
  <c r="H73" i="11" s="1"/>
  <c r="H74" i="11" s="1"/>
  <c r="H75" i="11" s="1"/>
  <c r="H32" i="11"/>
  <c r="L15" i="19"/>
  <c r="L15" i="23" s="1"/>
  <c r="D16" i="19"/>
  <c r="E16" i="19"/>
  <c r="E16" i="23" s="1"/>
  <c r="F16" i="19"/>
  <c r="F16" i="23" s="1"/>
  <c r="G16" i="19"/>
  <c r="G16" i="23" s="1"/>
  <c r="H16" i="19"/>
  <c r="H16" i="23" s="1"/>
  <c r="D9" i="19"/>
  <c r="E9" i="19"/>
  <c r="E9" i="23" s="1"/>
  <c r="F9" i="19"/>
  <c r="F9" i="23" s="1"/>
  <c r="G9" i="19"/>
  <c r="G9" i="23" s="1"/>
  <c r="H9" i="19"/>
  <c r="H9" i="23" s="1"/>
  <c r="C9" i="19"/>
  <c r="C9" i="23" s="1"/>
  <c r="C71" i="22"/>
  <c r="D71" i="22"/>
  <c r="E71" i="22"/>
  <c r="E53" i="22"/>
  <c r="D53" i="22"/>
  <c r="C53" i="22"/>
  <c r="D35" i="22"/>
  <c r="C35" i="22"/>
  <c r="A17" i="22"/>
  <c r="H16" i="22"/>
  <c r="G16" i="22"/>
  <c r="E16" i="22"/>
  <c r="D16" i="22"/>
  <c r="J15" i="22"/>
  <c r="E14" i="22"/>
  <c r="D14" i="22"/>
  <c r="H14" i="22" s="1"/>
  <c r="J14" i="22" s="1"/>
  <c r="J13" i="22"/>
  <c r="J12" i="22"/>
  <c r="J11" i="22"/>
  <c r="J10" i="22"/>
  <c r="J9" i="22"/>
  <c r="H8" i="22"/>
  <c r="G8" i="22"/>
  <c r="F8" i="22"/>
  <c r="E8" i="22"/>
  <c r="D8" i="22"/>
  <c r="J7" i="22"/>
  <c r="H6" i="22"/>
  <c r="G6" i="22"/>
  <c r="F6" i="22"/>
  <c r="E6" i="22"/>
  <c r="D6" i="22"/>
  <c r="J5" i="22"/>
  <c r="J4" i="22"/>
  <c r="H3" i="22"/>
  <c r="G3" i="22"/>
  <c r="J3" i="22" s="1"/>
  <c r="F3" i="22"/>
  <c r="F17" i="22" s="1"/>
  <c r="E3" i="22"/>
  <c r="D3" i="22"/>
  <c r="F25" i="21"/>
  <c r="G25" i="21"/>
  <c r="H25" i="21"/>
  <c r="E26" i="21"/>
  <c r="F26" i="21" s="1"/>
  <c r="H26" i="21"/>
  <c r="J26" i="21"/>
  <c r="E27" i="21"/>
  <c r="F27" i="21" s="1"/>
  <c r="J27" i="21"/>
  <c r="E30" i="21"/>
  <c r="F30" i="21" s="1"/>
  <c r="H30" i="21"/>
  <c r="L17" i="21"/>
  <c r="K17" i="21"/>
  <c r="F23" i="20" s="1"/>
  <c r="J17" i="21"/>
  <c r="I17" i="21"/>
  <c r="H17" i="21"/>
  <c r="G17" i="21"/>
  <c r="F17" i="21"/>
  <c r="E17" i="21"/>
  <c r="D17" i="21"/>
  <c r="C17" i="21"/>
  <c r="L16" i="21"/>
  <c r="K16" i="21"/>
  <c r="J16" i="21"/>
  <c r="I16" i="21"/>
  <c r="H16" i="21"/>
  <c r="G16" i="21"/>
  <c r="F41" i="20" s="1"/>
  <c r="G41" i="20" s="1"/>
  <c r="F16" i="21"/>
  <c r="E16" i="21"/>
  <c r="D16" i="21"/>
  <c r="C16" i="21"/>
  <c r="L15" i="21"/>
  <c r="K15" i="21"/>
  <c r="J15" i="21"/>
  <c r="I15" i="21"/>
  <c r="H15" i="21"/>
  <c r="G15" i="21"/>
  <c r="F15" i="21"/>
  <c r="E15" i="21"/>
  <c r="D15" i="21"/>
  <c r="C15" i="21"/>
  <c r="F27" i="20" s="1"/>
  <c r="L11" i="21"/>
  <c r="K11" i="21"/>
  <c r="F5" i="20" s="1"/>
  <c r="J11" i="21"/>
  <c r="I11" i="21"/>
  <c r="H11" i="21"/>
  <c r="G11" i="21"/>
  <c r="F11" i="21"/>
  <c r="E11" i="21"/>
  <c r="D11" i="21"/>
  <c r="C11" i="21"/>
  <c r="L10" i="21"/>
  <c r="K10" i="21"/>
  <c r="J10" i="21"/>
  <c r="I10" i="21"/>
  <c r="H10" i="21"/>
  <c r="G10" i="21"/>
  <c r="F10" i="21"/>
  <c r="E10" i="21"/>
  <c r="D10" i="21"/>
  <c r="F4" i="20" s="1"/>
  <c r="G4" i="20" s="1"/>
  <c r="C10" i="21"/>
  <c r="F12" i="20" s="1"/>
  <c r="L9" i="21"/>
  <c r="K9" i="21"/>
  <c r="J9" i="21"/>
  <c r="I9" i="21"/>
  <c r="H9" i="21"/>
  <c r="G9" i="21"/>
  <c r="F9" i="21"/>
  <c r="E9" i="21"/>
  <c r="D9" i="21"/>
  <c r="C9" i="21"/>
  <c r="F14" i="20" s="1"/>
  <c r="L5" i="21"/>
  <c r="K5" i="21"/>
  <c r="N5" i="20" s="1"/>
  <c r="O5" i="20" s="1"/>
  <c r="J5" i="21"/>
  <c r="I5" i="21"/>
  <c r="H5" i="21"/>
  <c r="G5" i="21"/>
  <c r="F5" i="21"/>
  <c r="E5" i="21"/>
  <c r="D5" i="21"/>
  <c r="C5" i="21"/>
  <c r="L4" i="21"/>
  <c r="K4" i="21"/>
  <c r="J4" i="21"/>
  <c r="I4" i="21"/>
  <c r="H4" i="21"/>
  <c r="G4" i="21"/>
  <c r="F4" i="21"/>
  <c r="E4" i="21"/>
  <c r="D4" i="21"/>
  <c r="N4" i="20" s="1"/>
  <c r="O4" i="20" s="1"/>
  <c r="C4" i="21"/>
  <c r="N12" i="20" s="1"/>
  <c r="O12" i="20" s="1"/>
  <c r="L3" i="21"/>
  <c r="K3" i="21"/>
  <c r="J3" i="21"/>
  <c r="I3" i="21"/>
  <c r="H3" i="21"/>
  <c r="G3" i="21"/>
  <c r="F3" i="21"/>
  <c r="E3" i="21"/>
  <c r="D3" i="21"/>
  <c r="C3" i="21"/>
  <c r="N15" i="20" s="1"/>
  <c r="O15" i="20" s="1"/>
  <c r="M18" i="20"/>
  <c r="L18" i="20"/>
  <c r="K18" i="20"/>
  <c r="L16" i="20"/>
  <c r="M15" i="20"/>
  <c r="L15" i="20"/>
  <c r="L14" i="20"/>
  <c r="N13" i="20"/>
  <c r="O13" i="20" s="1"/>
  <c r="L13" i="20"/>
  <c r="M12" i="20"/>
  <c r="L12" i="20"/>
  <c r="L11" i="20"/>
  <c r="L10" i="20"/>
  <c r="L9" i="20"/>
  <c r="L8" i="20"/>
  <c r="N7" i="20"/>
  <c r="O7" i="20" s="1"/>
  <c r="L7" i="20"/>
  <c r="M5" i="20"/>
  <c r="L5" i="20"/>
  <c r="L4" i="20"/>
  <c r="D38" i="20"/>
  <c r="D39" i="20"/>
  <c r="E39" i="20"/>
  <c r="F39" i="20"/>
  <c r="G39" i="20" s="1"/>
  <c r="D40" i="20"/>
  <c r="D41" i="20"/>
  <c r="D42" i="20"/>
  <c r="F42" i="20"/>
  <c r="G42" i="20" s="1"/>
  <c r="D43" i="20"/>
  <c r="D44" i="20"/>
  <c r="D45" i="20"/>
  <c r="E45" i="20"/>
  <c r="F45" i="20"/>
  <c r="G45" i="20"/>
  <c r="D46" i="20"/>
  <c r="F46" i="20"/>
  <c r="G46" i="20" s="1"/>
  <c r="D47" i="20"/>
  <c r="E47" i="20"/>
  <c r="E50" i="20" s="1"/>
  <c r="D48" i="20"/>
  <c r="F48" i="20"/>
  <c r="D49" i="20"/>
  <c r="G49" i="20" s="1"/>
  <c r="F49" i="20"/>
  <c r="C50" i="20"/>
  <c r="C34" i="20"/>
  <c r="F33" i="20"/>
  <c r="D33" i="20"/>
  <c r="F32" i="20"/>
  <c r="D32" i="20"/>
  <c r="E31" i="20"/>
  <c r="D31" i="20"/>
  <c r="F30" i="20"/>
  <c r="D30" i="20"/>
  <c r="F29" i="20"/>
  <c r="E29" i="20"/>
  <c r="D29" i="20"/>
  <c r="D28" i="20"/>
  <c r="D27" i="20"/>
  <c r="F26" i="20"/>
  <c r="D26" i="20"/>
  <c r="D25" i="20"/>
  <c r="D24" i="20"/>
  <c r="E23" i="20"/>
  <c r="D23" i="20"/>
  <c r="D22" i="20"/>
  <c r="C18" i="20"/>
  <c r="D17" i="20"/>
  <c r="F16" i="20"/>
  <c r="D16" i="20"/>
  <c r="E15" i="20"/>
  <c r="D15" i="20"/>
  <c r="D14" i="20"/>
  <c r="F13" i="20"/>
  <c r="G13" i="20" s="1"/>
  <c r="E12" i="20"/>
  <c r="D12" i="20"/>
  <c r="D11" i="20"/>
  <c r="D10" i="20"/>
  <c r="D9" i="20"/>
  <c r="D8" i="20"/>
  <c r="F7" i="20"/>
  <c r="D7" i="20"/>
  <c r="D6" i="20"/>
  <c r="E5" i="20"/>
  <c r="D5" i="20"/>
  <c r="D4" i="20"/>
  <c r="D3" i="20"/>
  <c r="R7" i="19" l="1"/>
  <c r="D16" i="23"/>
  <c r="I16" i="19"/>
  <c r="I9" i="19"/>
  <c r="H35" i="23"/>
  <c r="D9" i="23"/>
  <c r="I7" i="23" s="1"/>
  <c r="P6" i="23"/>
  <c r="Q6" i="19"/>
  <c r="Q6" i="23" s="1"/>
  <c r="G35" i="23"/>
  <c r="I13" i="23"/>
  <c r="F35" i="23"/>
  <c r="Q5" i="19"/>
  <c r="Q5" i="23" s="1"/>
  <c r="P5" i="23"/>
  <c r="P7" i="23"/>
  <c r="Q7" i="19"/>
  <c r="Q7" i="23" s="1"/>
  <c r="P8" i="23"/>
  <c r="Q8" i="19"/>
  <c r="Q8" i="23" s="1"/>
  <c r="E17" i="22"/>
  <c r="J6" i="22"/>
  <c r="J16" i="22"/>
  <c r="D17" i="22"/>
  <c r="J8" i="22"/>
  <c r="I26" i="21"/>
  <c r="I30" i="21"/>
  <c r="I27" i="21"/>
  <c r="L27" i="21"/>
  <c r="K27" i="21"/>
  <c r="I25" i="21"/>
  <c r="L25" i="21" s="1"/>
  <c r="G30" i="21"/>
  <c r="L30" i="21" s="1"/>
  <c r="G26" i="21"/>
  <c r="K26" i="21" s="1"/>
  <c r="F17" i="20"/>
  <c r="G17" i="20" s="1"/>
  <c r="F43" i="20"/>
  <c r="G43" i="20" s="1"/>
  <c r="F8" i="20"/>
  <c r="H27" i="21"/>
  <c r="F28" i="20"/>
  <c r="G28" i="20" s="1"/>
  <c r="G27" i="21"/>
  <c r="N16" i="20"/>
  <c r="O16" i="20" s="1"/>
  <c r="N8" i="20"/>
  <c r="O8" i="20" s="1"/>
  <c r="F22" i="20"/>
  <c r="G22" i="20" s="1"/>
  <c r="F40" i="20"/>
  <c r="G40" i="20" s="1"/>
  <c r="F24" i="20"/>
  <c r="G24" i="20" s="1"/>
  <c r="F25" i="20"/>
  <c r="G25" i="20" s="1"/>
  <c r="F47" i="20"/>
  <c r="G47" i="20" s="1"/>
  <c r="G5" i="20"/>
  <c r="F38" i="20"/>
  <c r="F50" i="20" s="1"/>
  <c r="F31" i="20"/>
  <c r="G27" i="20"/>
  <c r="F44" i="20"/>
  <c r="G44" i="20" s="1"/>
  <c r="F6" i="20"/>
  <c r="G6" i="20" s="1"/>
  <c r="F15" i="20"/>
  <c r="G15" i="20" s="1"/>
  <c r="F9" i="20"/>
  <c r="F10" i="20"/>
  <c r="F3" i="20"/>
  <c r="G3" i="20" s="1"/>
  <c r="F11" i="20"/>
  <c r="G11" i="20" s="1"/>
  <c r="G48" i="20"/>
  <c r="G12" i="20"/>
  <c r="G23" i="20"/>
  <c r="N11" i="20"/>
  <c r="O11" i="20" s="1"/>
  <c r="N6" i="20"/>
  <c r="O6" i="20" s="1"/>
  <c r="E34" i="20"/>
  <c r="N10" i="20"/>
  <c r="O10" i="20" s="1"/>
  <c r="N3" i="20"/>
  <c r="N9" i="20"/>
  <c r="O9" i="20" s="1"/>
  <c r="N14" i="20"/>
  <c r="O14" i="20" s="1"/>
  <c r="D50" i="20"/>
  <c r="E18" i="20"/>
  <c r="G9" i="20"/>
  <c r="G10" i="20"/>
  <c r="G30" i="20"/>
  <c r="G29" i="20"/>
  <c r="G33" i="20"/>
  <c r="G26" i="20"/>
  <c r="F34" i="20"/>
  <c r="G14" i="20"/>
  <c r="G31" i="20"/>
  <c r="G32" i="20"/>
  <c r="G7" i="20"/>
  <c r="D34" i="20"/>
  <c r="D18" i="20"/>
  <c r="G8" i="20"/>
  <c r="G16" i="20"/>
  <c r="R41" i="19" l="1"/>
  <c r="R43" i="19"/>
  <c r="R5" i="19"/>
  <c r="R6" i="19"/>
  <c r="K25" i="21"/>
  <c r="R8" i="19"/>
  <c r="K30" i="21"/>
  <c r="L26" i="21"/>
  <c r="G38" i="20"/>
  <c r="F18" i="20"/>
  <c r="G50" i="20"/>
  <c r="O3" i="20"/>
  <c r="O18" i="20" s="1"/>
  <c r="N18" i="20"/>
  <c r="G34" i="20"/>
  <c r="G18" i="20"/>
  <c r="R39" i="19" l="1"/>
  <c r="R40" i="19"/>
  <c r="P30" i="19"/>
  <c r="P33" i="23" s="1"/>
  <c r="P16" i="19"/>
  <c r="P18" i="23" s="1"/>
  <c r="P35" i="23" l="1"/>
  <c r="G37" i="23" s="1"/>
  <c r="L24" i="19"/>
  <c r="C19" i="19"/>
  <c r="P32" i="19"/>
  <c r="G34" i="19" s="1"/>
  <c r="H32" i="19"/>
  <c r="G32" i="19"/>
  <c r="F32" i="19"/>
  <c r="G39" i="23" l="1"/>
  <c r="L30" i="19"/>
  <c r="L33" i="23" s="1"/>
  <c r="L26" i="23"/>
  <c r="C22" i="19"/>
  <c r="C22" i="23" s="1"/>
  <c r="C35" i="23" s="1"/>
  <c r="C19" i="23"/>
  <c r="L16" i="19"/>
  <c r="G36" i="19"/>
  <c r="L32" i="19" l="1"/>
  <c r="C34" i="19" s="1"/>
  <c r="L18" i="23"/>
  <c r="L35" i="23" s="1"/>
  <c r="N24" i="19"/>
  <c r="M24" i="19"/>
  <c r="R24" i="19" s="1"/>
  <c r="N26" i="23" l="1"/>
  <c r="M38" i="19"/>
  <c r="M26" i="23"/>
  <c r="C37" i="23"/>
  <c r="C39" i="23"/>
  <c r="C41" i="23" s="1"/>
  <c r="D19" i="19"/>
  <c r="I19" i="19" s="1"/>
  <c r="E19" i="19"/>
  <c r="D22" i="19" l="1"/>
  <c r="D19" i="23"/>
  <c r="E22" i="19"/>
  <c r="D22" i="23" l="1"/>
  <c r="I22" i="19"/>
  <c r="E32" i="19"/>
  <c r="E22" i="23"/>
  <c r="E35" i="23" s="1"/>
  <c r="M30" i="19"/>
  <c r="M16" i="19"/>
  <c r="M18" i="23" s="1"/>
  <c r="M33" i="23" l="1"/>
  <c r="I17" i="23"/>
  <c r="D35" i="23"/>
  <c r="I26" i="23" s="1"/>
  <c r="M35" i="23"/>
  <c r="M32" i="19"/>
  <c r="M44" i="19" s="1"/>
  <c r="D32" i="19"/>
  <c r="I32" i="19" s="1"/>
  <c r="D37" i="23" l="1"/>
  <c r="D39" i="23"/>
  <c r="D41" i="23" s="1"/>
  <c r="D34" i="19"/>
  <c r="M46" i="19"/>
  <c r="D36" i="19"/>
  <c r="G170" i="16" l="1"/>
  <c r="F170" i="16"/>
  <c r="G166" i="16"/>
  <c r="F166" i="16"/>
  <c r="G153" i="16"/>
  <c r="F153" i="16"/>
  <c r="F152" i="16" s="1"/>
  <c r="F148" i="16" s="1"/>
  <c r="G152" i="16"/>
  <c r="G148" i="16"/>
  <c r="G136" i="16"/>
  <c r="F136" i="16"/>
  <c r="G133" i="16"/>
  <c r="F133" i="16"/>
  <c r="G130" i="16"/>
  <c r="F130" i="16"/>
  <c r="G116" i="16"/>
  <c r="G110" i="16" s="1"/>
  <c r="F116" i="16"/>
  <c r="F110" i="16" s="1"/>
  <c r="G103" i="16"/>
  <c r="F103" i="16"/>
  <c r="F97" i="16" s="1"/>
  <c r="G97" i="16"/>
  <c r="G91" i="16"/>
  <c r="F91" i="16"/>
  <c r="G87" i="16"/>
  <c r="F87" i="16"/>
  <c r="F84" i="16" s="1"/>
  <c r="G84" i="16"/>
  <c r="G81" i="16"/>
  <c r="F81" i="16"/>
  <c r="G78" i="16"/>
  <c r="F78" i="16"/>
  <c r="G68" i="16"/>
  <c r="F68" i="16"/>
  <c r="G52" i="16"/>
  <c r="G49" i="16" s="1"/>
  <c r="F52" i="16"/>
  <c r="F49" i="16" s="1"/>
  <c r="F40" i="16"/>
  <c r="F180" i="16" s="1"/>
  <c r="G29" i="16"/>
  <c r="F29" i="16"/>
  <c r="G16" i="16"/>
  <c r="E19" i="23" s="1"/>
  <c r="F15" i="16"/>
  <c r="G9" i="16"/>
  <c r="F9" i="16"/>
  <c r="F8" i="14"/>
  <c r="E224" i="14" s="1"/>
  <c r="G246" i="14" s="1"/>
  <c r="G8" i="14"/>
  <c r="G224" i="14" s="1"/>
  <c r="H246" i="14" s="1"/>
  <c r="F17" i="14"/>
  <c r="F15" i="14" s="1"/>
  <c r="F27" i="14"/>
  <c r="F25" i="14" s="1"/>
  <c r="G27" i="14"/>
  <c r="F43" i="14"/>
  <c r="G43" i="14"/>
  <c r="F49" i="14"/>
  <c r="G49" i="14"/>
  <c r="F59" i="14"/>
  <c r="F76" i="14"/>
  <c r="F80" i="14"/>
  <c r="G80" i="14"/>
  <c r="N25" i="23" s="1"/>
  <c r="F92" i="14"/>
  <c r="G92" i="14"/>
  <c r="F99" i="14"/>
  <c r="G99" i="14"/>
  <c r="G124" i="14"/>
  <c r="F148" i="14"/>
  <c r="F137" i="14" s="1"/>
  <c r="G148" i="14"/>
  <c r="G137" i="14" s="1"/>
  <c r="F157" i="14"/>
  <c r="G157" i="14"/>
  <c r="G166" i="14"/>
  <c r="F202" i="14"/>
  <c r="G202" i="14"/>
  <c r="E221" i="14"/>
  <c r="G221" i="14"/>
  <c r="E227" i="14"/>
  <c r="G227" i="14"/>
  <c r="E228" i="14"/>
  <c r="G247" i="14" s="1"/>
  <c r="G228" i="14"/>
  <c r="H247" i="14" s="1"/>
  <c r="E229" i="14"/>
  <c r="G248" i="14" s="1"/>
  <c r="G229" i="14"/>
  <c r="H248" i="14" s="1"/>
  <c r="E230" i="14"/>
  <c r="G249" i="14" s="1"/>
  <c r="G230" i="14"/>
  <c r="H249" i="14" s="1"/>
  <c r="E231" i="14"/>
  <c r="G231" i="14"/>
  <c r="E233" i="14"/>
  <c r="G250" i="14" s="1"/>
  <c r="G233" i="14"/>
  <c r="H250" i="14" s="1"/>
  <c r="E234" i="14"/>
  <c r="G251" i="14" s="1"/>
  <c r="G234" i="14"/>
  <c r="H251" i="14" s="1"/>
  <c r="E235" i="14"/>
  <c r="G235" i="14"/>
  <c r="K240" i="13"/>
  <c r="K236" i="13"/>
  <c r="K227" i="13"/>
  <c r="K218" i="13"/>
  <c r="J191" i="13"/>
  <c r="J190" i="13"/>
  <c r="J189" i="13"/>
  <c r="J188" i="13"/>
  <c r="J187" i="13"/>
  <c r="J186" i="13"/>
  <c r="J185" i="13"/>
  <c r="I181" i="13"/>
  <c r="K181" i="13" s="1"/>
  <c r="F181" i="13"/>
  <c r="I180" i="13"/>
  <c r="K180" i="13" s="1"/>
  <c r="F180" i="13"/>
  <c r="I179" i="13"/>
  <c r="K179" i="13" s="1"/>
  <c r="F179" i="13"/>
  <c r="I178" i="13"/>
  <c r="K178" i="13" s="1"/>
  <c r="F178" i="13"/>
  <c r="I177" i="13"/>
  <c r="K177" i="13" s="1"/>
  <c r="F177" i="13"/>
  <c r="I176" i="13"/>
  <c r="K176" i="13" s="1"/>
  <c r="F176" i="13"/>
  <c r="I175" i="13"/>
  <c r="K175" i="13" s="1"/>
  <c r="F175" i="13"/>
  <c r="I174" i="13"/>
  <c r="K174" i="13" s="1"/>
  <c r="F174" i="13"/>
  <c r="I173" i="13"/>
  <c r="K173" i="13" s="1"/>
  <c r="F173" i="13"/>
  <c r="I172" i="13"/>
  <c r="K172" i="13" s="1"/>
  <c r="F172" i="13"/>
  <c r="J166" i="13"/>
  <c r="J165" i="13"/>
  <c r="J164" i="13"/>
  <c r="J163" i="13"/>
  <c r="J162" i="13"/>
  <c r="J161" i="13"/>
  <c r="J160" i="13"/>
  <c r="I156" i="13"/>
  <c r="K156" i="13" s="1"/>
  <c r="F156" i="13"/>
  <c r="I155" i="13"/>
  <c r="K155" i="13" s="1"/>
  <c r="F155" i="13"/>
  <c r="I154" i="13"/>
  <c r="K154" i="13" s="1"/>
  <c r="F154" i="13"/>
  <c r="I153" i="13"/>
  <c r="K153" i="13" s="1"/>
  <c r="F153" i="13"/>
  <c r="I152" i="13"/>
  <c r="K152" i="13" s="1"/>
  <c r="F152" i="13"/>
  <c r="I151" i="13"/>
  <c r="K151" i="13" s="1"/>
  <c r="F151" i="13"/>
  <c r="I150" i="13"/>
  <c r="K150" i="13" s="1"/>
  <c r="F150" i="13"/>
  <c r="I149" i="13"/>
  <c r="K149" i="13" s="1"/>
  <c r="F149" i="13"/>
  <c r="I148" i="13"/>
  <c r="K148" i="13" s="1"/>
  <c r="F148" i="13"/>
  <c r="I147" i="13"/>
  <c r="K147" i="13" s="1"/>
  <c r="F147" i="13"/>
  <c r="J141" i="13"/>
  <c r="J140" i="13"/>
  <c r="J139" i="13"/>
  <c r="J138" i="13"/>
  <c r="J137" i="13"/>
  <c r="J136" i="13"/>
  <c r="J135" i="13"/>
  <c r="I131" i="13"/>
  <c r="K131" i="13" s="1"/>
  <c r="F131" i="13"/>
  <c r="I130" i="13"/>
  <c r="K130" i="13" s="1"/>
  <c r="F130" i="13"/>
  <c r="I129" i="13"/>
  <c r="K129" i="13" s="1"/>
  <c r="F129" i="13"/>
  <c r="I128" i="13"/>
  <c r="K128" i="13" s="1"/>
  <c r="F128" i="13"/>
  <c r="I127" i="13"/>
  <c r="K127" i="13" s="1"/>
  <c r="F127" i="13"/>
  <c r="F126" i="13"/>
  <c r="F125" i="13"/>
  <c r="F124" i="13"/>
  <c r="F123" i="13"/>
  <c r="H122" i="13"/>
  <c r="H123" i="13" s="1"/>
  <c r="F122" i="13"/>
  <c r="J116" i="13"/>
  <c r="J115" i="13"/>
  <c r="J114" i="13"/>
  <c r="J113" i="13"/>
  <c r="J112" i="13"/>
  <c r="J111" i="13"/>
  <c r="J110" i="13"/>
  <c r="I106" i="13"/>
  <c r="K106" i="13" s="1"/>
  <c r="F106" i="13"/>
  <c r="I105" i="13"/>
  <c r="K105" i="13" s="1"/>
  <c r="F105" i="13"/>
  <c r="I104" i="13"/>
  <c r="K104" i="13" s="1"/>
  <c r="F104" i="13"/>
  <c r="I103" i="13"/>
  <c r="K103" i="13" s="1"/>
  <c r="F103" i="13"/>
  <c r="I102" i="13"/>
  <c r="K102" i="13" s="1"/>
  <c r="F102" i="13"/>
  <c r="F101" i="13"/>
  <c r="F100" i="13"/>
  <c r="F99" i="13"/>
  <c r="F98" i="13"/>
  <c r="H97" i="13"/>
  <c r="H98" i="13" s="1"/>
  <c r="F97" i="13"/>
  <c r="J91" i="13"/>
  <c r="J90" i="13"/>
  <c r="J89" i="13"/>
  <c r="J88" i="13"/>
  <c r="J87" i="13"/>
  <c r="J86" i="13"/>
  <c r="J85" i="13"/>
  <c r="I81" i="13"/>
  <c r="K81" i="13" s="1"/>
  <c r="F81" i="13"/>
  <c r="I80" i="13"/>
  <c r="K80" i="13" s="1"/>
  <c r="F80" i="13"/>
  <c r="I79" i="13"/>
  <c r="K79" i="13" s="1"/>
  <c r="F79" i="13"/>
  <c r="I78" i="13"/>
  <c r="K78" i="13" s="1"/>
  <c r="F78" i="13"/>
  <c r="I77" i="13"/>
  <c r="K77" i="13" s="1"/>
  <c r="F77" i="13"/>
  <c r="I76" i="13"/>
  <c r="K76" i="13" s="1"/>
  <c r="F76" i="13"/>
  <c r="F75" i="13"/>
  <c r="F74" i="13"/>
  <c r="F73" i="13"/>
  <c r="H72" i="13"/>
  <c r="H73" i="13" s="1"/>
  <c r="H74" i="13" s="1"/>
  <c r="F72" i="13"/>
  <c r="J65" i="13"/>
  <c r="J64" i="13"/>
  <c r="J63" i="13"/>
  <c r="J62" i="13"/>
  <c r="J61" i="13"/>
  <c r="J60" i="13"/>
  <c r="J59" i="13"/>
  <c r="J58" i="13"/>
  <c r="J57" i="13"/>
  <c r="J56" i="13"/>
  <c r="J55" i="13"/>
  <c r="J54" i="13"/>
  <c r="J53" i="13"/>
  <c r="J52" i="13"/>
  <c r="J51" i="13"/>
  <c r="J50" i="13"/>
  <c r="J49" i="13"/>
  <c r="J48" i="13"/>
  <c r="J47" i="13"/>
  <c r="J46" i="13"/>
  <c r="J45" i="13"/>
  <c r="J44" i="13"/>
  <c r="I40" i="13"/>
  <c r="K40" i="13" s="1"/>
  <c r="F40" i="13"/>
  <c r="I39" i="13"/>
  <c r="K39" i="13" s="1"/>
  <c r="F39" i="13"/>
  <c r="I38" i="13"/>
  <c r="K38" i="13" s="1"/>
  <c r="F38" i="13"/>
  <c r="I37" i="13"/>
  <c r="K37" i="13" s="1"/>
  <c r="F37" i="13"/>
  <c r="I36" i="13"/>
  <c r="K36" i="13" s="1"/>
  <c r="F36" i="13"/>
  <c r="I35" i="13"/>
  <c r="K35" i="13" s="1"/>
  <c r="F35" i="13"/>
  <c r="I34" i="13"/>
  <c r="K34" i="13" s="1"/>
  <c r="F34" i="13"/>
  <c r="H31" i="13"/>
  <c r="K31" i="13" s="1"/>
  <c r="J23" i="13"/>
  <c r="K22" i="13"/>
  <c r="K21" i="13"/>
  <c r="K20" i="13"/>
  <c r="K19" i="13"/>
  <c r="K18" i="13"/>
  <c r="K17" i="13"/>
  <c r="K16" i="13"/>
  <c r="K15" i="13"/>
  <c r="K14" i="13"/>
  <c r="K13" i="13"/>
  <c r="K12" i="13"/>
  <c r="K11" i="13"/>
  <c r="K10" i="13"/>
  <c r="K9" i="13"/>
  <c r="K8" i="13"/>
  <c r="G1" i="13"/>
  <c r="K239" i="12"/>
  <c r="K241" i="12" s="1"/>
  <c r="D3" i="12" s="1"/>
  <c r="K235" i="12"/>
  <c r="K226" i="12"/>
  <c r="K217" i="12"/>
  <c r="K239" i="11"/>
  <c r="K241" i="11" s="1"/>
  <c r="D3" i="11" s="1"/>
  <c r="K235" i="11"/>
  <c r="K226" i="11"/>
  <c r="K217" i="11"/>
  <c r="F96" i="16" l="1"/>
  <c r="J192" i="13"/>
  <c r="J206" i="13" s="1"/>
  <c r="I72" i="13"/>
  <c r="K72" i="13" s="1"/>
  <c r="K242" i="13"/>
  <c r="K23" i="13"/>
  <c r="J142" i="13"/>
  <c r="J202" i="13" s="1"/>
  <c r="F181" i="16"/>
  <c r="G124" i="16"/>
  <c r="M22" i="23"/>
  <c r="N22" i="23"/>
  <c r="G15" i="16"/>
  <c r="G96" i="16"/>
  <c r="M25" i="23"/>
  <c r="G223" i="14"/>
  <c r="H245" i="14" s="1"/>
  <c r="E223" i="14"/>
  <c r="G245" i="14" s="1"/>
  <c r="N21" i="23"/>
  <c r="M21" i="23"/>
  <c r="F14" i="14"/>
  <c r="F7" i="14" s="1"/>
  <c r="E222" i="14"/>
  <c r="G244" i="14" s="1"/>
  <c r="K157" i="13"/>
  <c r="K182" i="13"/>
  <c r="J167" i="13"/>
  <c r="J204" i="13" s="1"/>
  <c r="J117" i="13"/>
  <c r="J200" i="13" s="1"/>
  <c r="J92" i="13"/>
  <c r="J198" i="13" s="1"/>
  <c r="J66" i="13"/>
  <c r="J196" i="13" s="1"/>
  <c r="F124" i="16"/>
  <c r="F155" i="14"/>
  <c r="F154" i="14" s="1"/>
  <c r="G236" i="14"/>
  <c r="G232" i="14"/>
  <c r="E236" i="14"/>
  <c r="E232" i="14"/>
  <c r="F8" i="16"/>
  <c r="G155" i="14"/>
  <c r="G154" i="14" s="1"/>
  <c r="G14" i="14"/>
  <c r="G7" i="14" s="1"/>
  <c r="G222" i="14"/>
  <c r="I98" i="13"/>
  <c r="K98" i="13" s="1"/>
  <c r="H99" i="13"/>
  <c r="I74" i="13"/>
  <c r="K74" i="13" s="1"/>
  <c r="H75" i="13"/>
  <c r="I75" i="13" s="1"/>
  <c r="K75" i="13" s="1"/>
  <c r="I123" i="13"/>
  <c r="K123" i="13" s="1"/>
  <c r="H124" i="13"/>
  <c r="K205" i="13"/>
  <c r="K169" i="13"/>
  <c r="K144" i="13"/>
  <c r="K203" i="13"/>
  <c r="D3" i="13"/>
  <c r="I122" i="13"/>
  <c r="K122" i="13" s="1"/>
  <c r="H32" i="13"/>
  <c r="I97" i="13"/>
  <c r="K97" i="13" s="1"/>
  <c r="I73" i="13"/>
  <c r="K73" i="13" s="1"/>
  <c r="K82" i="13" l="1"/>
  <c r="G77" i="16"/>
  <c r="G171" i="16"/>
  <c r="G8" i="16"/>
  <c r="G181" i="16"/>
  <c r="G182" i="16" s="1"/>
  <c r="G225" i="14"/>
  <c r="H244" i="14"/>
  <c r="F77" i="16"/>
  <c r="F7" i="16" s="1"/>
  <c r="F163" i="16" s="1"/>
  <c r="D36" i="23" s="1"/>
  <c r="F182" i="16"/>
  <c r="E225" i="14"/>
  <c r="F218" i="14"/>
  <c r="M36" i="23" s="1"/>
  <c r="G218" i="14"/>
  <c r="H231" i="14" s="1"/>
  <c r="J208" i="13"/>
  <c r="Q29" i="19" s="1"/>
  <c r="R29" i="19" s="1"/>
  <c r="F171" i="16"/>
  <c r="G238" i="14"/>
  <c r="E238" i="14"/>
  <c r="K197" i="13"/>
  <c r="K69" i="13"/>
  <c r="K32" i="13"/>
  <c r="K33" i="13"/>
  <c r="H125" i="13"/>
  <c r="I124" i="13"/>
  <c r="K124" i="13" s="1"/>
  <c r="H100" i="13"/>
  <c r="I99" i="13"/>
  <c r="K99" i="13" s="1"/>
  <c r="G1" i="12"/>
  <c r="K8" i="12"/>
  <c r="K9" i="12"/>
  <c r="K10" i="12"/>
  <c r="K11" i="12"/>
  <c r="K12" i="12"/>
  <c r="K13" i="12"/>
  <c r="K14" i="12"/>
  <c r="K15" i="12"/>
  <c r="K16" i="12"/>
  <c r="K17" i="12"/>
  <c r="K18" i="12"/>
  <c r="K19" i="12"/>
  <c r="K20" i="12"/>
  <c r="K21" i="12"/>
  <c r="K22" i="12"/>
  <c r="J23" i="12"/>
  <c r="H31" i="12"/>
  <c r="K31" i="12"/>
  <c r="F33" i="12"/>
  <c r="I33" i="12"/>
  <c r="K33" i="12" s="1"/>
  <c r="F34" i="12"/>
  <c r="I34" i="12"/>
  <c r="K34" i="12" s="1"/>
  <c r="F35" i="12"/>
  <c r="I35" i="12"/>
  <c r="K35" i="12" s="1"/>
  <c r="F36" i="12"/>
  <c r="I36" i="12"/>
  <c r="K36" i="12" s="1"/>
  <c r="F37" i="12"/>
  <c r="I37" i="12"/>
  <c r="K37" i="12" s="1"/>
  <c r="F38" i="12"/>
  <c r="I38" i="12"/>
  <c r="K38" i="12" s="1"/>
  <c r="F39" i="12"/>
  <c r="I39" i="12"/>
  <c r="K39" i="12" s="1"/>
  <c r="F40" i="12"/>
  <c r="I40" i="12"/>
  <c r="K40" i="12" s="1"/>
  <c r="J44" i="12"/>
  <c r="J45" i="12"/>
  <c r="J46" i="12"/>
  <c r="J47" i="12"/>
  <c r="J48" i="12"/>
  <c r="J49" i="12"/>
  <c r="J50" i="12"/>
  <c r="J51" i="12"/>
  <c r="J52" i="12"/>
  <c r="J53" i="12"/>
  <c r="J54" i="12"/>
  <c r="J55" i="12"/>
  <c r="J56" i="12"/>
  <c r="J57" i="12"/>
  <c r="J58" i="12"/>
  <c r="J59" i="12"/>
  <c r="J60" i="12"/>
  <c r="J61" i="12"/>
  <c r="J62" i="12"/>
  <c r="J63" i="12"/>
  <c r="J64" i="12"/>
  <c r="J65" i="12"/>
  <c r="F71" i="12"/>
  <c r="H71" i="12"/>
  <c r="I71" i="12" s="1"/>
  <c r="K71" i="12" s="1"/>
  <c r="F72" i="12"/>
  <c r="F73" i="12"/>
  <c r="F74" i="12"/>
  <c r="F75" i="12"/>
  <c r="F76" i="12"/>
  <c r="F77" i="12"/>
  <c r="I77" i="12"/>
  <c r="K77" i="12" s="1"/>
  <c r="F78" i="12"/>
  <c r="I78" i="12"/>
  <c r="K78" i="12" s="1"/>
  <c r="F79" i="12"/>
  <c r="I79" i="12"/>
  <c r="K79" i="12" s="1"/>
  <c r="F80" i="12"/>
  <c r="I80" i="12"/>
  <c r="K80" i="12" s="1"/>
  <c r="J84" i="12"/>
  <c r="J85" i="12"/>
  <c r="J86" i="12"/>
  <c r="J87" i="12"/>
  <c r="J88" i="12"/>
  <c r="J89" i="12"/>
  <c r="J90" i="12"/>
  <c r="F96" i="12"/>
  <c r="I96" i="12"/>
  <c r="K96" i="12" s="1"/>
  <c r="F97" i="12"/>
  <c r="I97" i="12"/>
  <c r="K97" i="12" s="1"/>
  <c r="F98" i="12"/>
  <c r="I98" i="12"/>
  <c r="K98" i="12" s="1"/>
  <c r="F99" i="12"/>
  <c r="I99" i="12"/>
  <c r="K99" i="12" s="1"/>
  <c r="F100" i="12"/>
  <c r="I100" i="12"/>
  <c r="K100" i="12" s="1"/>
  <c r="F101" i="12"/>
  <c r="I101" i="12"/>
  <c r="K101" i="12" s="1"/>
  <c r="F102" i="12"/>
  <c r="I102" i="12"/>
  <c r="K102" i="12" s="1"/>
  <c r="F103" i="12"/>
  <c r="I103" i="12"/>
  <c r="K103" i="12" s="1"/>
  <c r="F104" i="12"/>
  <c r="I104" i="12"/>
  <c r="K104" i="12" s="1"/>
  <c r="F105" i="12"/>
  <c r="I105" i="12"/>
  <c r="K105" i="12" s="1"/>
  <c r="J109" i="12"/>
  <c r="J110" i="12"/>
  <c r="J111" i="12"/>
  <c r="J112" i="12"/>
  <c r="J113" i="12"/>
  <c r="J114" i="12"/>
  <c r="J115" i="12"/>
  <c r="F121" i="12"/>
  <c r="I121" i="12"/>
  <c r="K121" i="12" s="1"/>
  <c r="F122" i="12"/>
  <c r="I122" i="12"/>
  <c r="K122" i="12" s="1"/>
  <c r="F123" i="12"/>
  <c r="I123" i="12"/>
  <c r="K123" i="12"/>
  <c r="F124" i="12"/>
  <c r="I124" i="12"/>
  <c r="K124" i="12" s="1"/>
  <c r="F125" i="12"/>
  <c r="I125" i="12"/>
  <c r="K125" i="12" s="1"/>
  <c r="F126" i="12"/>
  <c r="I126" i="12"/>
  <c r="K126" i="12" s="1"/>
  <c r="F127" i="12"/>
  <c r="I127" i="12"/>
  <c r="K127" i="12"/>
  <c r="F128" i="12"/>
  <c r="I128" i="12"/>
  <c r="K128" i="12" s="1"/>
  <c r="F129" i="12"/>
  <c r="I129" i="12"/>
  <c r="K129" i="12" s="1"/>
  <c r="F130" i="12"/>
  <c r="I130" i="12"/>
  <c r="K130" i="12" s="1"/>
  <c r="J134" i="12"/>
  <c r="J135" i="12"/>
  <c r="J136" i="12"/>
  <c r="J137" i="12"/>
  <c r="J138" i="12"/>
  <c r="J139" i="12"/>
  <c r="J140" i="12"/>
  <c r="F146" i="12"/>
  <c r="I146" i="12"/>
  <c r="K146" i="12"/>
  <c r="F147" i="12"/>
  <c r="I147" i="12"/>
  <c r="K147" i="12" s="1"/>
  <c r="F148" i="12"/>
  <c r="I148" i="12"/>
  <c r="K148" i="12" s="1"/>
  <c r="F149" i="12"/>
  <c r="I149" i="12"/>
  <c r="K149" i="12" s="1"/>
  <c r="F150" i="12"/>
  <c r="I150" i="12"/>
  <c r="K150" i="12" s="1"/>
  <c r="F151" i="12"/>
  <c r="I151" i="12"/>
  <c r="K151" i="12" s="1"/>
  <c r="F152" i="12"/>
  <c r="I152" i="12"/>
  <c r="K152" i="12"/>
  <c r="F153" i="12"/>
  <c r="I153" i="12"/>
  <c r="K153" i="12"/>
  <c r="F154" i="12"/>
  <c r="I154" i="12"/>
  <c r="K154" i="12"/>
  <c r="F155" i="12"/>
  <c r="I155" i="12"/>
  <c r="K155" i="12" s="1"/>
  <c r="J159" i="12"/>
  <c r="J160" i="12"/>
  <c r="J161" i="12"/>
  <c r="J162" i="12"/>
  <c r="J163" i="12"/>
  <c r="J164" i="12"/>
  <c r="J165" i="12"/>
  <c r="F171" i="12"/>
  <c r="I171" i="12"/>
  <c r="K171" i="12" s="1"/>
  <c r="F172" i="12"/>
  <c r="I172" i="12"/>
  <c r="K172" i="12" s="1"/>
  <c r="F173" i="12"/>
  <c r="I173" i="12"/>
  <c r="K173" i="12" s="1"/>
  <c r="F174" i="12"/>
  <c r="I174" i="12"/>
  <c r="K174" i="12" s="1"/>
  <c r="F175" i="12"/>
  <c r="I175" i="12"/>
  <c r="K175" i="12" s="1"/>
  <c r="F176" i="12"/>
  <c r="I176" i="12"/>
  <c r="K176" i="12" s="1"/>
  <c r="F177" i="12"/>
  <c r="I177" i="12"/>
  <c r="K177" i="12" s="1"/>
  <c r="F178" i="12"/>
  <c r="I178" i="12"/>
  <c r="K178" i="12" s="1"/>
  <c r="F179" i="12"/>
  <c r="I179" i="12"/>
  <c r="K179" i="12"/>
  <c r="F180" i="12"/>
  <c r="I180" i="12"/>
  <c r="K180" i="12"/>
  <c r="J184" i="12"/>
  <c r="J185" i="12"/>
  <c r="J186" i="12"/>
  <c r="J187" i="12"/>
  <c r="J188" i="12"/>
  <c r="J189" i="12"/>
  <c r="J190" i="12"/>
  <c r="G7" i="16" l="1"/>
  <c r="G163" i="16" s="1"/>
  <c r="G172" i="16" s="1"/>
  <c r="H235" i="14"/>
  <c r="H224" i="14"/>
  <c r="Q31" i="23"/>
  <c r="Q30" i="19"/>
  <c r="Q33" i="23" s="1"/>
  <c r="H232" i="14"/>
  <c r="H236" i="14"/>
  <c r="G173" i="16"/>
  <c r="G174" i="16" s="1"/>
  <c r="E36" i="23"/>
  <c r="H223" i="14"/>
  <c r="H252" i="14"/>
  <c r="F236" i="14"/>
  <c r="G252" i="14"/>
  <c r="G167" i="16"/>
  <c r="H229" i="14"/>
  <c r="H228" i="14"/>
  <c r="H230" i="14"/>
  <c r="H222" i="14"/>
  <c r="H234" i="14"/>
  <c r="H233" i="14"/>
  <c r="H225" i="14"/>
  <c r="F233" i="14"/>
  <c r="F222" i="14"/>
  <c r="F231" i="14"/>
  <c r="F232" i="14"/>
  <c r="F228" i="14"/>
  <c r="F225" i="14"/>
  <c r="F230" i="14"/>
  <c r="F223" i="14"/>
  <c r="F224" i="14"/>
  <c r="F229" i="14"/>
  <c r="F234" i="14"/>
  <c r="F235" i="14"/>
  <c r="J191" i="12"/>
  <c r="J205" i="12" s="1"/>
  <c r="J91" i="12"/>
  <c r="J197" i="12" s="1"/>
  <c r="J116" i="12"/>
  <c r="J199" i="12" s="1"/>
  <c r="J141" i="12"/>
  <c r="J201" i="12" s="1"/>
  <c r="F167" i="16"/>
  <c r="F173" i="16"/>
  <c r="F174" i="16" s="1"/>
  <c r="F172" i="16"/>
  <c r="I125" i="13"/>
  <c r="K125" i="13" s="1"/>
  <c r="H126" i="13"/>
  <c r="I126" i="13" s="1"/>
  <c r="K126" i="13" s="1"/>
  <c r="H101" i="13"/>
  <c r="I101" i="13" s="1"/>
  <c r="K101" i="13" s="1"/>
  <c r="I100" i="13"/>
  <c r="K100" i="13" s="1"/>
  <c r="K41" i="13"/>
  <c r="K195" i="13" s="1"/>
  <c r="K23" i="12"/>
  <c r="J166" i="12"/>
  <c r="J203" i="12" s="1"/>
  <c r="J66" i="12"/>
  <c r="J195" i="12" s="1"/>
  <c r="K156" i="12"/>
  <c r="K131" i="12"/>
  <c r="K41" i="12"/>
  <c r="K194" i="12" s="1"/>
  <c r="K202" i="12"/>
  <c r="K181" i="12"/>
  <c r="K106" i="12"/>
  <c r="H72" i="12"/>
  <c r="K107" i="13" l="1"/>
  <c r="H238" i="14"/>
  <c r="F238" i="14"/>
  <c r="J207" i="12"/>
  <c r="N27" i="19" s="1"/>
  <c r="K143" i="12"/>
  <c r="K199" i="13"/>
  <c r="K94" i="13"/>
  <c r="K132" i="13"/>
  <c r="H73" i="12"/>
  <c r="I72" i="12"/>
  <c r="K72" i="12" s="1"/>
  <c r="K200" i="12"/>
  <c r="K118" i="12"/>
  <c r="K93" i="12"/>
  <c r="K198" i="12"/>
  <c r="K204" i="12"/>
  <c r="K168" i="12"/>
  <c r="R27" i="19" l="1"/>
  <c r="N38" i="19"/>
  <c r="N29" i="23"/>
  <c r="N30" i="19"/>
  <c r="K119" i="13"/>
  <c r="K201" i="13"/>
  <c r="K207" i="13" s="1"/>
  <c r="H74" i="12"/>
  <c r="I73" i="12"/>
  <c r="K73" i="12" s="1"/>
  <c r="N33" i="23" l="1"/>
  <c r="R24" i="23" s="1"/>
  <c r="J209" i="13"/>
  <c r="G3" i="13" s="1"/>
  <c r="Q14" i="19"/>
  <c r="R14" i="19" s="1"/>
  <c r="K244" i="13"/>
  <c r="K3" i="13" s="1"/>
  <c r="I74" i="12"/>
  <c r="K74" i="12" s="1"/>
  <c r="H75" i="12"/>
  <c r="G1" i="11"/>
  <c r="K8" i="11"/>
  <c r="K9" i="11"/>
  <c r="K10" i="11"/>
  <c r="K11" i="11"/>
  <c r="K12" i="11"/>
  <c r="K13" i="11"/>
  <c r="K14" i="11"/>
  <c r="K15" i="11"/>
  <c r="K16" i="11"/>
  <c r="K17" i="11"/>
  <c r="K18" i="11"/>
  <c r="K19" i="11"/>
  <c r="K20" i="11"/>
  <c r="K21" i="11"/>
  <c r="K22" i="11"/>
  <c r="J23" i="11"/>
  <c r="H31" i="11"/>
  <c r="K31" i="11" s="1"/>
  <c r="F32" i="11"/>
  <c r="I32" i="11"/>
  <c r="K32" i="11" s="1"/>
  <c r="F33" i="11"/>
  <c r="I33" i="11"/>
  <c r="K33" i="11" s="1"/>
  <c r="F34" i="11"/>
  <c r="I34" i="11"/>
  <c r="K34" i="11" s="1"/>
  <c r="F35" i="11"/>
  <c r="I35" i="11"/>
  <c r="K35" i="11" s="1"/>
  <c r="F36" i="11"/>
  <c r="I36" i="11"/>
  <c r="K36" i="11" s="1"/>
  <c r="F37" i="11"/>
  <c r="I37" i="11"/>
  <c r="K37" i="11" s="1"/>
  <c r="F38" i="11"/>
  <c r="I38" i="11"/>
  <c r="K38" i="11" s="1"/>
  <c r="F39" i="11"/>
  <c r="I39" i="11"/>
  <c r="K39" i="11" s="1"/>
  <c r="F40" i="11"/>
  <c r="I40" i="11"/>
  <c r="K40" i="11" s="1"/>
  <c r="J44" i="11"/>
  <c r="J45" i="11"/>
  <c r="J46" i="11"/>
  <c r="J47" i="11"/>
  <c r="J48" i="11"/>
  <c r="J49" i="11"/>
  <c r="J50" i="11"/>
  <c r="J51" i="11"/>
  <c r="J52" i="11"/>
  <c r="J53" i="11"/>
  <c r="J54" i="11"/>
  <c r="J55" i="11"/>
  <c r="J57" i="11"/>
  <c r="J59" i="11"/>
  <c r="J61" i="11"/>
  <c r="J62" i="11"/>
  <c r="J63" i="11"/>
  <c r="J64" i="11"/>
  <c r="J65" i="11"/>
  <c r="F71" i="11"/>
  <c r="I71" i="11"/>
  <c r="K71" i="11" s="1"/>
  <c r="F72" i="11"/>
  <c r="F73" i="11"/>
  <c r="F74" i="11"/>
  <c r="F75" i="11"/>
  <c r="F76" i="11"/>
  <c r="F77" i="11"/>
  <c r="I77" i="11"/>
  <c r="K77" i="11" s="1"/>
  <c r="F78" i="11"/>
  <c r="I78" i="11"/>
  <c r="K78" i="11" s="1"/>
  <c r="F79" i="11"/>
  <c r="I79" i="11"/>
  <c r="K79" i="11" s="1"/>
  <c r="F80" i="11"/>
  <c r="I80" i="11"/>
  <c r="K80" i="11" s="1"/>
  <c r="J84" i="11"/>
  <c r="J85" i="11"/>
  <c r="J86" i="11"/>
  <c r="J87" i="11"/>
  <c r="J88" i="11"/>
  <c r="J89" i="11"/>
  <c r="J90" i="11"/>
  <c r="F96" i="11"/>
  <c r="I96" i="11"/>
  <c r="K96" i="11" s="1"/>
  <c r="F97" i="11"/>
  <c r="I97" i="11"/>
  <c r="K97" i="11" s="1"/>
  <c r="F98" i="11"/>
  <c r="I98" i="11"/>
  <c r="K98" i="11" s="1"/>
  <c r="F99" i="11"/>
  <c r="I99" i="11"/>
  <c r="K99" i="11" s="1"/>
  <c r="F100" i="11"/>
  <c r="I100" i="11"/>
  <c r="K100" i="11" s="1"/>
  <c r="F101" i="11"/>
  <c r="I101" i="11"/>
  <c r="K101" i="11" s="1"/>
  <c r="F102" i="11"/>
  <c r="I102" i="11"/>
  <c r="K102" i="11" s="1"/>
  <c r="F103" i="11"/>
  <c r="I103" i="11"/>
  <c r="K103" i="11" s="1"/>
  <c r="F104" i="11"/>
  <c r="I104" i="11"/>
  <c r="K104" i="11" s="1"/>
  <c r="F105" i="11"/>
  <c r="I105" i="11"/>
  <c r="K105" i="11" s="1"/>
  <c r="J109" i="11"/>
  <c r="J110" i="11"/>
  <c r="J111" i="11"/>
  <c r="J112" i="11"/>
  <c r="J113" i="11"/>
  <c r="J114" i="11"/>
  <c r="J115" i="11"/>
  <c r="F121" i="11"/>
  <c r="I121" i="11"/>
  <c r="K121" i="11" s="1"/>
  <c r="F122" i="11"/>
  <c r="I122" i="11"/>
  <c r="K122" i="11" s="1"/>
  <c r="F123" i="11"/>
  <c r="I123" i="11"/>
  <c r="K123" i="11" s="1"/>
  <c r="F124" i="11"/>
  <c r="I124" i="11"/>
  <c r="K124" i="11"/>
  <c r="F125" i="11"/>
  <c r="I125" i="11"/>
  <c r="K125" i="11" s="1"/>
  <c r="F126" i="11"/>
  <c r="I126" i="11"/>
  <c r="K126" i="11" s="1"/>
  <c r="F127" i="11"/>
  <c r="I127" i="11"/>
  <c r="K127" i="11" s="1"/>
  <c r="F128" i="11"/>
  <c r="I128" i="11"/>
  <c r="K128" i="11" s="1"/>
  <c r="F129" i="11"/>
  <c r="I129" i="11"/>
  <c r="K129" i="11" s="1"/>
  <c r="F130" i="11"/>
  <c r="I130" i="11"/>
  <c r="K130" i="11" s="1"/>
  <c r="J134" i="11"/>
  <c r="J135" i="11"/>
  <c r="J136" i="11"/>
  <c r="J137" i="11"/>
  <c r="J138" i="11"/>
  <c r="J139" i="11"/>
  <c r="J140" i="11"/>
  <c r="F146" i="11"/>
  <c r="I146" i="11"/>
  <c r="K146" i="11" s="1"/>
  <c r="F147" i="11"/>
  <c r="I147" i="11"/>
  <c r="K147" i="11" s="1"/>
  <c r="F148" i="11"/>
  <c r="I148" i="11"/>
  <c r="K148" i="11" s="1"/>
  <c r="F149" i="11"/>
  <c r="I149" i="11"/>
  <c r="K149" i="11" s="1"/>
  <c r="F150" i="11"/>
  <c r="I150" i="11"/>
  <c r="K150" i="11" s="1"/>
  <c r="F151" i="11"/>
  <c r="I151" i="11"/>
  <c r="K151" i="11" s="1"/>
  <c r="F152" i="11"/>
  <c r="I152" i="11"/>
  <c r="K152" i="11" s="1"/>
  <c r="F153" i="11"/>
  <c r="I153" i="11"/>
  <c r="K153" i="11" s="1"/>
  <c r="F154" i="11"/>
  <c r="I154" i="11"/>
  <c r="K154" i="11" s="1"/>
  <c r="F155" i="11"/>
  <c r="I155" i="11"/>
  <c r="K155" i="11" s="1"/>
  <c r="J159" i="11"/>
  <c r="J160" i="11"/>
  <c r="J161" i="11"/>
  <c r="J162" i="11"/>
  <c r="J163" i="11"/>
  <c r="J164" i="11"/>
  <c r="J165" i="11"/>
  <c r="F171" i="11"/>
  <c r="I171" i="11"/>
  <c r="K171" i="11" s="1"/>
  <c r="F172" i="11"/>
  <c r="I172" i="11"/>
  <c r="K172" i="11" s="1"/>
  <c r="F173" i="11"/>
  <c r="I173" i="11"/>
  <c r="K173" i="11" s="1"/>
  <c r="F174" i="11"/>
  <c r="I174" i="11"/>
  <c r="K174" i="11" s="1"/>
  <c r="F175" i="11"/>
  <c r="I175" i="11"/>
  <c r="K175" i="11" s="1"/>
  <c r="F176" i="11"/>
  <c r="I176" i="11"/>
  <c r="K176" i="11" s="1"/>
  <c r="F177" i="11"/>
  <c r="I177" i="11"/>
  <c r="K177" i="11" s="1"/>
  <c r="F178" i="11"/>
  <c r="I178" i="11"/>
  <c r="K178" i="11" s="1"/>
  <c r="F179" i="11"/>
  <c r="I179" i="11"/>
  <c r="K179" i="11" s="1"/>
  <c r="F180" i="11"/>
  <c r="I180" i="11"/>
  <c r="K180" i="11" s="1"/>
  <c r="J184" i="11"/>
  <c r="J185" i="11"/>
  <c r="J186" i="11"/>
  <c r="J187" i="11"/>
  <c r="J188" i="11"/>
  <c r="J189" i="11"/>
  <c r="J190" i="11"/>
  <c r="Q14" i="23" l="1"/>
  <c r="Q16" i="19"/>
  <c r="J191" i="11"/>
  <c r="J205" i="11" s="1"/>
  <c r="J116" i="11"/>
  <c r="J199" i="11" s="1"/>
  <c r="J141" i="11"/>
  <c r="J201" i="11" s="1"/>
  <c r="J166" i="11"/>
  <c r="J203" i="11" s="1"/>
  <c r="K23" i="11"/>
  <c r="J91" i="11"/>
  <c r="J197" i="11" s="1"/>
  <c r="J66" i="11"/>
  <c r="J195" i="11" s="1"/>
  <c r="H76" i="12"/>
  <c r="I76" i="12" s="1"/>
  <c r="K76" i="12" s="1"/>
  <c r="I75" i="12"/>
  <c r="K75" i="12" s="1"/>
  <c r="K181" i="11"/>
  <c r="K41" i="11"/>
  <c r="K194" i="11" s="1"/>
  <c r="K106" i="11"/>
  <c r="K156" i="11"/>
  <c r="K131" i="11"/>
  <c r="Q18" i="23" l="1"/>
  <c r="Q35" i="23" s="1"/>
  <c r="Q32" i="19"/>
  <c r="K81" i="12"/>
  <c r="K68" i="12" s="1"/>
  <c r="J207" i="11"/>
  <c r="O28" i="19" s="1"/>
  <c r="R28" i="19" s="1"/>
  <c r="R38" i="19" s="1"/>
  <c r="K202" i="11"/>
  <c r="K143" i="11"/>
  <c r="K93" i="11"/>
  <c r="K198" i="11"/>
  <c r="K168" i="11"/>
  <c r="K204" i="11"/>
  <c r="K118" i="11"/>
  <c r="K200" i="11"/>
  <c r="I72" i="11"/>
  <c r="K72" i="11" s="1"/>
  <c r="H34" i="19" l="1"/>
  <c r="H36" i="19"/>
  <c r="H37" i="23"/>
  <c r="H39" i="23"/>
  <c r="O30" i="19"/>
  <c r="O30" i="23"/>
  <c r="K196" i="12"/>
  <c r="K206" i="12" s="1"/>
  <c r="I73" i="11"/>
  <c r="K73" i="11" s="1"/>
  <c r="O33" i="23" l="1"/>
  <c r="R30" i="19"/>
  <c r="N16" i="19"/>
  <c r="N32" i="19" s="1"/>
  <c r="J208" i="12"/>
  <c r="G3" i="12" s="1"/>
  <c r="K243" i="12"/>
  <c r="K3" i="12" s="1"/>
  <c r="I74" i="11"/>
  <c r="K74" i="11" s="1"/>
  <c r="N42" i="19" l="1"/>
  <c r="N44" i="19" s="1"/>
  <c r="N18" i="23"/>
  <c r="I76" i="11"/>
  <c r="K76" i="11" s="1"/>
  <c r="I75" i="11"/>
  <c r="K75" i="11" s="1"/>
  <c r="N35" i="23" l="1"/>
  <c r="N36" i="23" s="1"/>
  <c r="R14" i="23"/>
  <c r="K81" i="11"/>
  <c r="K68" i="11" s="1"/>
  <c r="R26" i="23" l="1"/>
  <c r="E37" i="23"/>
  <c r="E39" i="23"/>
  <c r="E41" i="23" s="1"/>
  <c r="N46" i="19"/>
  <c r="E34" i="19"/>
  <c r="E36" i="19"/>
  <c r="K196" i="11"/>
  <c r="K206" i="11" s="1"/>
  <c r="O13" i="19" s="1"/>
  <c r="R13" i="19" s="1"/>
  <c r="C29" i="9"/>
  <c r="C23" i="9"/>
  <c r="B14" i="9"/>
  <c r="E13" i="9"/>
  <c r="F23" i="9" s="1"/>
  <c r="C13" i="9"/>
  <c r="F11" i="9"/>
  <c r="C11" i="9"/>
  <c r="B9" i="9"/>
  <c r="E8" i="9"/>
  <c r="F8" i="9" s="1"/>
  <c r="C8" i="9"/>
  <c r="C15" i="9" s="1"/>
  <c r="B6" i="9"/>
  <c r="R42" i="19" l="1"/>
  <c r="O13" i="23"/>
  <c r="J208" i="11"/>
  <c r="G3" i="11" s="1"/>
  <c r="O16" i="19"/>
  <c r="R16" i="19" s="1"/>
  <c r="F13" i="9"/>
  <c r="E6" i="9"/>
  <c r="F29" i="9"/>
  <c r="F30" i="9" s="1"/>
  <c r="F31" i="9" s="1"/>
  <c r="C10" i="9"/>
  <c r="F15" i="9"/>
  <c r="F10" i="9"/>
  <c r="F12" i="9"/>
  <c r="C34" i="9"/>
  <c r="C30" i="9"/>
  <c r="C31" i="9" s="1"/>
  <c r="C12" i="9"/>
  <c r="C36" i="9"/>
  <c r="O32" i="19" l="1"/>
  <c r="O18" i="23"/>
  <c r="O35" i="23" s="1"/>
  <c r="K243" i="11"/>
  <c r="K3" i="11" s="1"/>
  <c r="F34" i="9"/>
  <c r="F35" i="9" s="1"/>
  <c r="F36" i="9"/>
  <c r="F17" i="9"/>
  <c r="C17" i="9"/>
  <c r="C32" i="9"/>
  <c r="C22" i="9" s="1"/>
  <c r="C35" i="9"/>
  <c r="C37" i="9" s="1"/>
  <c r="F32" i="9"/>
  <c r="F22" i="9" s="1"/>
  <c r="F34" i="19" l="1"/>
  <c r="R32" i="19"/>
  <c r="U17" i="19" s="1"/>
  <c r="F36" i="19"/>
  <c r="F37" i="23"/>
  <c r="F39" i="23"/>
  <c r="F41" i="23" s="1"/>
  <c r="G41" i="23" s="1"/>
  <c r="H41" i="23" s="1"/>
  <c r="F37" i="9"/>
  <c r="F38" i="9" s="1"/>
  <c r="F24" i="9" s="1"/>
  <c r="F26" i="9" s="1"/>
  <c r="F27" i="9" s="1"/>
  <c r="C38" i="9"/>
  <c r="C24" i="9" s="1"/>
  <c r="C26" i="9" s="1"/>
  <c r="C27" i="9" s="1"/>
  <c r="C32" i="19"/>
  <c r="C36" i="19" s="1"/>
  <c r="C38" i="19" s="1"/>
  <c r="D38" i="19" s="1"/>
  <c r="E38" i="19" s="1"/>
  <c r="F38" i="19" l="1"/>
  <c r="G38" i="19" s="1"/>
  <c r="H38" i="19" s="1"/>
  <c r="AA1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 Louyest</author>
  </authors>
  <commentList>
    <comment ref="J1" authorId="0" shapeId="0" xr:uid="{256B4AF8-30D0-4C12-AFD1-5950F9FB710A}">
      <text>
        <r>
          <rPr>
            <b/>
            <sz val="9"/>
            <color indexed="81"/>
            <rFont val="Tahoma"/>
            <family val="2"/>
          </rPr>
          <t>Jean Louyest:</t>
        </r>
        <r>
          <rPr>
            <sz val="9"/>
            <color indexed="81"/>
            <rFont val="Tahoma"/>
            <family val="2"/>
          </rPr>
          <t xml:space="preserve">
(Frais de secrétariat et d'assurance-loi inclus)
</t>
        </r>
      </text>
    </comment>
    <comment ref="K1" authorId="0" shapeId="0" xr:uid="{31FE44AC-5E99-4331-A30A-EA8BB0F3238B}">
      <text>
        <r>
          <rPr>
            <b/>
            <sz val="9"/>
            <color indexed="81"/>
            <rFont val="Tahoma"/>
            <family val="2"/>
          </rPr>
          <t>Jean Louyest:</t>
        </r>
        <r>
          <rPr>
            <sz val="9"/>
            <color indexed="81"/>
            <rFont val="Tahoma"/>
            <family val="2"/>
          </rPr>
          <t xml:space="preserve">
Multiplicatif pour passer du brut total au coût employeur</t>
        </r>
      </text>
    </comment>
    <comment ref="A43" authorId="0" shapeId="0" xr:uid="{49163F08-FFE9-4727-9A7D-CB0B42F5F72E}">
      <text>
        <r>
          <rPr>
            <b/>
            <sz val="9"/>
            <color indexed="81"/>
            <rFont val="Tahoma"/>
            <family val="2"/>
          </rPr>
          <t>Jean Louyest:</t>
        </r>
        <r>
          <rPr>
            <sz val="9"/>
            <color indexed="81"/>
            <rFont val="Tahoma"/>
            <family val="2"/>
          </rPr>
          <t xml:space="preserve">
Référence au chapitre compta</t>
        </r>
      </text>
    </comment>
    <comment ref="A83" authorId="0" shapeId="0" xr:uid="{179E8B4F-BDF3-4F3E-ACF2-3F94B8662241}">
      <text>
        <r>
          <rPr>
            <b/>
            <sz val="9"/>
            <color indexed="81"/>
            <rFont val="Tahoma"/>
            <family val="2"/>
          </rPr>
          <t>Jean Louyest:</t>
        </r>
        <r>
          <rPr>
            <sz val="9"/>
            <color indexed="81"/>
            <rFont val="Tahoma"/>
            <family val="2"/>
          </rPr>
          <t xml:space="preserve">
Référence au chapitre compta</t>
        </r>
      </text>
    </comment>
    <comment ref="A108" authorId="0" shapeId="0" xr:uid="{50B0FF14-42C6-4D23-9D77-80B9E4D0166E}">
      <text>
        <r>
          <rPr>
            <b/>
            <sz val="9"/>
            <color indexed="81"/>
            <rFont val="Tahoma"/>
            <family val="2"/>
          </rPr>
          <t>Jean Louyest:</t>
        </r>
        <r>
          <rPr>
            <sz val="9"/>
            <color indexed="81"/>
            <rFont val="Tahoma"/>
            <family val="2"/>
          </rPr>
          <t xml:space="preserve">
Référence au chapitre compta</t>
        </r>
      </text>
    </comment>
    <comment ref="A133" authorId="0" shapeId="0" xr:uid="{1ABBB6B5-2428-41DB-8D32-667DD7E8F8CB}">
      <text>
        <r>
          <rPr>
            <b/>
            <sz val="9"/>
            <color indexed="81"/>
            <rFont val="Tahoma"/>
            <family val="2"/>
          </rPr>
          <t>Jean Louyest:</t>
        </r>
        <r>
          <rPr>
            <sz val="9"/>
            <color indexed="81"/>
            <rFont val="Tahoma"/>
            <family val="2"/>
          </rPr>
          <t xml:space="preserve">
Référence au chapitre compta</t>
        </r>
      </text>
    </comment>
    <comment ref="A158" authorId="0" shapeId="0" xr:uid="{DC08F402-4BA7-4737-B0C3-C1A288D5F345}">
      <text>
        <r>
          <rPr>
            <b/>
            <sz val="9"/>
            <color indexed="81"/>
            <rFont val="Tahoma"/>
            <family val="2"/>
          </rPr>
          <t>Jean Louyest:</t>
        </r>
        <r>
          <rPr>
            <sz val="9"/>
            <color indexed="81"/>
            <rFont val="Tahoma"/>
            <family val="2"/>
          </rPr>
          <t xml:space="preserve">
Référence au chapitre compta</t>
        </r>
      </text>
    </comment>
    <comment ref="A183" authorId="0" shapeId="0" xr:uid="{2B80C99A-2F72-4B85-8A5F-5B335CFFA094}">
      <text>
        <r>
          <rPr>
            <b/>
            <sz val="9"/>
            <color indexed="81"/>
            <rFont val="Tahoma"/>
            <family val="2"/>
          </rPr>
          <t>Jean Louyest:</t>
        </r>
        <r>
          <rPr>
            <sz val="9"/>
            <color indexed="81"/>
            <rFont val="Tahoma"/>
            <family val="2"/>
          </rPr>
          <t xml:space="preserve">
Référence au chapitre compta</t>
        </r>
      </text>
    </comment>
    <comment ref="A212" authorId="0" shapeId="0" xr:uid="{A3D075AC-B917-4088-BCD7-72F48F265201}">
      <text>
        <r>
          <rPr>
            <b/>
            <sz val="9"/>
            <color indexed="81"/>
            <rFont val="Tahoma"/>
            <family val="2"/>
          </rPr>
          <t>Jean Louyest:</t>
        </r>
        <r>
          <rPr>
            <sz val="9"/>
            <color indexed="81"/>
            <rFont val="Tahoma"/>
            <family val="2"/>
          </rPr>
          <t xml:space="preserve">
Référence au chapitre compta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 Louyest</author>
  </authors>
  <commentList>
    <comment ref="J1" authorId="0" shapeId="0" xr:uid="{256B4AF8-30D0-4C12-AFD1-5950F9FB710A}">
      <text>
        <r>
          <rPr>
            <b/>
            <sz val="9"/>
            <color indexed="81"/>
            <rFont val="Tahoma"/>
            <family val="2"/>
          </rPr>
          <t>Jean Louyest:</t>
        </r>
        <r>
          <rPr>
            <sz val="9"/>
            <color indexed="81"/>
            <rFont val="Tahoma"/>
            <family val="2"/>
          </rPr>
          <t xml:space="preserve">
(Frais de secrétariat et d'assurance-loi inclus)
</t>
        </r>
      </text>
    </comment>
    <comment ref="K1" authorId="0" shapeId="0" xr:uid="{31FE44AC-5E99-4331-A30A-EA8BB0F3238B}">
      <text>
        <r>
          <rPr>
            <b/>
            <sz val="9"/>
            <color indexed="81"/>
            <rFont val="Tahoma"/>
            <family val="2"/>
          </rPr>
          <t>Jean Louyest:</t>
        </r>
        <r>
          <rPr>
            <sz val="9"/>
            <color indexed="81"/>
            <rFont val="Tahoma"/>
            <family val="2"/>
          </rPr>
          <t xml:space="preserve">
Multiplicatif pour passer du brut total au coût employeur</t>
        </r>
      </text>
    </comment>
    <comment ref="A43" authorId="0" shapeId="0" xr:uid="{49163F08-FFE9-4727-9A7D-CB0B42F5F72E}">
      <text>
        <r>
          <rPr>
            <b/>
            <sz val="9"/>
            <color indexed="81"/>
            <rFont val="Tahoma"/>
            <family val="2"/>
          </rPr>
          <t>Jean Louyest:</t>
        </r>
        <r>
          <rPr>
            <sz val="9"/>
            <color indexed="81"/>
            <rFont val="Tahoma"/>
            <family val="2"/>
          </rPr>
          <t xml:space="preserve">
Référence au chapitre compta</t>
        </r>
      </text>
    </comment>
    <comment ref="A83" authorId="0" shapeId="0" xr:uid="{179E8B4F-BDF3-4F3E-ACF2-3F94B8662241}">
      <text>
        <r>
          <rPr>
            <b/>
            <sz val="9"/>
            <color indexed="81"/>
            <rFont val="Tahoma"/>
            <family val="2"/>
          </rPr>
          <t>Jean Louyest:</t>
        </r>
        <r>
          <rPr>
            <sz val="9"/>
            <color indexed="81"/>
            <rFont val="Tahoma"/>
            <family val="2"/>
          </rPr>
          <t xml:space="preserve">
Référence au chapitre compta</t>
        </r>
      </text>
    </comment>
    <comment ref="A108" authorId="0" shapeId="0" xr:uid="{50B0FF14-42C6-4D23-9D77-80B9E4D0166E}">
      <text>
        <r>
          <rPr>
            <b/>
            <sz val="9"/>
            <color indexed="81"/>
            <rFont val="Tahoma"/>
            <family val="2"/>
          </rPr>
          <t>Jean Louyest:</t>
        </r>
        <r>
          <rPr>
            <sz val="9"/>
            <color indexed="81"/>
            <rFont val="Tahoma"/>
            <family val="2"/>
          </rPr>
          <t xml:space="preserve">
Référence au chapitre compta</t>
        </r>
      </text>
    </comment>
    <comment ref="A133" authorId="0" shapeId="0" xr:uid="{1ABBB6B5-2428-41DB-8D32-667DD7E8F8CB}">
      <text>
        <r>
          <rPr>
            <b/>
            <sz val="9"/>
            <color indexed="81"/>
            <rFont val="Tahoma"/>
            <family val="2"/>
          </rPr>
          <t>Jean Louyest:</t>
        </r>
        <r>
          <rPr>
            <sz val="9"/>
            <color indexed="81"/>
            <rFont val="Tahoma"/>
            <family val="2"/>
          </rPr>
          <t xml:space="preserve">
Référence au chapitre compta</t>
        </r>
      </text>
    </comment>
    <comment ref="A158" authorId="0" shapeId="0" xr:uid="{DC08F402-4BA7-4737-B0C3-C1A288D5F345}">
      <text>
        <r>
          <rPr>
            <b/>
            <sz val="9"/>
            <color indexed="81"/>
            <rFont val="Tahoma"/>
            <family val="2"/>
          </rPr>
          <t>Jean Louyest:</t>
        </r>
        <r>
          <rPr>
            <sz val="9"/>
            <color indexed="81"/>
            <rFont val="Tahoma"/>
            <family val="2"/>
          </rPr>
          <t xml:space="preserve">
Référence au chapitre compta</t>
        </r>
      </text>
    </comment>
    <comment ref="A183" authorId="0" shapeId="0" xr:uid="{2B80C99A-2F72-4B85-8A5F-5B335CFFA094}">
      <text>
        <r>
          <rPr>
            <b/>
            <sz val="9"/>
            <color indexed="81"/>
            <rFont val="Tahoma"/>
            <family val="2"/>
          </rPr>
          <t>Jean Louyest:</t>
        </r>
        <r>
          <rPr>
            <sz val="9"/>
            <color indexed="81"/>
            <rFont val="Tahoma"/>
            <family val="2"/>
          </rPr>
          <t xml:space="preserve">
Référence au chapitre compta</t>
        </r>
      </text>
    </comment>
    <comment ref="A212" authorId="0" shapeId="0" xr:uid="{030BFC49-4304-4838-92F7-EA1C4E6A815E}">
      <text>
        <r>
          <rPr>
            <b/>
            <sz val="9"/>
            <color indexed="81"/>
            <rFont val="Tahoma"/>
            <family val="2"/>
          </rPr>
          <t>Jean Louyest:</t>
        </r>
        <r>
          <rPr>
            <sz val="9"/>
            <color indexed="81"/>
            <rFont val="Tahoma"/>
            <family val="2"/>
          </rPr>
          <t xml:space="preserve">
Référence au chapitre compta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 Louyest</author>
  </authors>
  <commentList>
    <comment ref="J1" authorId="0" shapeId="0" xr:uid="{B154A617-12CB-40D8-867B-590876DFF841}">
      <text>
        <r>
          <rPr>
            <b/>
            <sz val="9"/>
            <color indexed="81"/>
            <rFont val="Tahoma"/>
            <family val="2"/>
          </rPr>
          <t>Jean Louyest:</t>
        </r>
        <r>
          <rPr>
            <sz val="9"/>
            <color indexed="81"/>
            <rFont val="Tahoma"/>
            <family val="2"/>
          </rPr>
          <t xml:space="preserve">
(Frais de secrétariat et d'assurance-loi inclus)
</t>
        </r>
      </text>
    </comment>
    <comment ref="K1" authorId="0" shapeId="0" xr:uid="{40EC6DA4-54AC-4AF0-B449-B9BC3D9D58F7}">
      <text>
        <r>
          <rPr>
            <b/>
            <sz val="9"/>
            <color indexed="81"/>
            <rFont val="Tahoma"/>
            <family val="2"/>
          </rPr>
          <t>Jean Louyest:</t>
        </r>
        <r>
          <rPr>
            <sz val="9"/>
            <color indexed="81"/>
            <rFont val="Tahoma"/>
            <family val="2"/>
          </rPr>
          <t xml:space="preserve">
Multiplicatif pour passer du brut total au coût employeur</t>
        </r>
      </text>
    </comment>
    <comment ref="A43" authorId="0" shapeId="0" xr:uid="{DD2E9DCB-15B2-4EA4-9830-455539A32D5D}">
      <text>
        <r>
          <rPr>
            <b/>
            <sz val="9"/>
            <color indexed="81"/>
            <rFont val="Tahoma"/>
            <family val="2"/>
          </rPr>
          <t>Jean Louyest:</t>
        </r>
        <r>
          <rPr>
            <sz val="9"/>
            <color indexed="81"/>
            <rFont val="Tahoma"/>
            <family val="2"/>
          </rPr>
          <t xml:space="preserve">
Référence au chapitre compta</t>
        </r>
      </text>
    </comment>
    <comment ref="A84" authorId="0" shapeId="0" xr:uid="{C4E35964-37EF-4548-A880-87BB3157AC37}">
      <text>
        <r>
          <rPr>
            <b/>
            <sz val="9"/>
            <color indexed="81"/>
            <rFont val="Tahoma"/>
            <family val="2"/>
          </rPr>
          <t>Jean Louyest:</t>
        </r>
        <r>
          <rPr>
            <sz val="9"/>
            <color indexed="81"/>
            <rFont val="Tahoma"/>
            <family val="2"/>
          </rPr>
          <t xml:space="preserve">
Référence au chapitre compta</t>
        </r>
      </text>
    </comment>
    <comment ref="A109" authorId="0" shapeId="0" xr:uid="{A88F8AD8-00B9-4D76-9506-41C022282D32}">
      <text>
        <r>
          <rPr>
            <b/>
            <sz val="9"/>
            <color indexed="81"/>
            <rFont val="Tahoma"/>
            <family val="2"/>
          </rPr>
          <t>Jean Louyest:</t>
        </r>
        <r>
          <rPr>
            <sz val="9"/>
            <color indexed="81"/>
            <rFont val="Tahoma"/>
            <family val="2"/>
          </rPr>
          <t xml:space="preserve">
Référence au chapitre compta</t>
        </r>
      </text>
    </comment>
    <comment ref="A134" authorId="0" shapeId="0" xr:uid="{CA0BFEAB-1FB5-45D6-B9A9-1F06F34FD5EB}">
      <text>
        <r>
          <rPr>
            <b/>
            <sz val="9"/>
            <color indexed="81"/>
            <rFont val="Tahoma"/>
            <family val="2"/>
          </rPr>
          <t>Jean Louyest:</t>
        </r>
        <r>
          <rPr>
            <sz val="9"/>
            <color indexed="81"/>
            <rFont val="Tahoma"/>
            <family val="2"/>
          </rPr>
          <t xml:space="preserve">
Référence au chapitre compta</t>
        </r>
      </text>
    </comment>
    <comment ref="A159" authorId="0" shapeId="0" xr:uid="{DAC41CF0-C046-4374-84FF-D64235E07328}">
      <text>
        <r>
          <rPr>
            <b/>
            <sz val="9"/>
            <color indexed="81"/>
            <rFont val="Tahoma"/>
            <family val="2"/>
          </rPr>
          <t>Jean Louyest:</t>
        </r>
        <r>
          <rPr>
            <sz val="9"/>
            <color indexed="81"/>
            <rFont val="Tahoma"/>
            <family val="2"/>
          </rPr>
          <t xml:space="preserve">
Référence au chapitre compta</t>
        </r>
      </text>
    </comment>
    <comment ref="A184" authorId="0" shapeId="0" xr:uid="{CF71752E-4447-42A5-9952-130031AAC78C}">
      <text>
        <r>
          <rPr>
            <b/>
            <sz val="9"/>
            <color indexed="81"/>
            <rFont val="Tahoma"/>
            <family val="2"/>
          </rPr>
          <t>Jean Louyest:</t>
        </r>
        <r>
          <rPr>
            <sz val="9"/>
            <color indexed="81"/>
            <rFont val="Tahoma"/>
            <family val="2"/>
          </rPr>
          <t xml:space="preserve">
Référence au chapitre compta</t>
        </r>
      </text>
    </comment>
    <comment ref="A213" authorId="0" shapeId="0" xr:uid="{20693E1A-F4B1-4BB6-98A9-A0B4706C5CF2}">
      <text>
        <r>
          <rPr>
            <b/>
            <sz val="9"/>
            <color indexed="81"/>
            <rFont val="Tahoma"/>
            <family val="2"/>
          </rPr>
          <t>Jean Louyest:</t>
        </r>
        <r>
          <rPr>
            <sz val="9"/>
            <color indexed="81"/>
            <rFont val="Tahoma"/>
            <family val="2"/>
          </rPr>
          <t xml:space="preserve">
Référence au chapitre compta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Jean Louyest</author>
  </authors>
  <commentList>
    <comment ref="B8" authorId="0" shapeId="0" xr:uid="{5ECB21E3-9982-4280-9A28-E39BE4A29848}">
      <text>
        <r>
          <rPr>
            <b/>
            <sz val="8"/>
            <color indexed="8"/>
            <rFont val="Tahoma"/>
            <family val="2"/>
          </rPr>
          <t>Montant brut par jour</t>
        </r>
      </text>
    </comment>
    <comment ref="E8" authorId="0" shapeId="0" xr:uid="{B2925510-F170-412C-B8C1-0AD80B27FD30}">
      <text>
        <r>
          <rPr>
            <b/>
            <sz val="8"/>
            <color indexed="8"/>
            <rFont val="Tahoma"/>
            <family val="2"/>
          </rPr>
          <t>Montant brut par jour</t>
        </r>
      </text>
    </comment>
    <comment ref="B11" authorId="0" shapeId="0" xr:uid="{CD496B69-4EB3-4BE0-981C-B08C7D8E3903}">
      <text>
        <r>
          <rPr>
            <b/>
            <sz val="8"/>
            <color indexed="8"/>
            <rFont val="Tahoma"/>
            <family val="2"/>
          </rPr>
          <t xml:space="preserve">NOMBRE DE JOURS PRESTES
</t>
        </r>
      </text>
    </comment>
    <comment ref="E11" authorId="0" shapeId="0" xr:uid="{E6F87628-9A97-4EEC-914C-004D17F621E7}">
      <text>
        <r>
          <rPr>
            <b/>
            <sz val="8"/>
            <color indexed="8"/>
            <rFont val="Tahoma"/>
            <family val="2"/>
          </rPr>
          <t xml:space="preserve">NOMBRE DE JOURS PRESTES
</t>
        </r>
      </text>
    </comment>
    <comment ref="E13" authorId="1" shapeId="0" xr:uid="{0EEFB8D7-8B0F-4BE7-A773-D68E3B0D53D9}">
      <text>
        <r>
          <rPr>
            <b/>
            <sz val="9"/>
            <color indexed="81"/>
            <rFont val="Tahoma"/>
            <family val="2"/>
          </rPr>
          <t>Jean Louyest:
Pour un brut de 123€ au lieu de 115€ :</t>
        </r>
        <r>
          <rPr>
            <sz val="9"/>
            <color indexed="81"/>
            <rFont val="Tahoma"/>
            <family val="2"/>
          </rPr>
          <t xml:space="preserve">
- Avec 23€, ça coûte la même chose à la Cie mais le comédien reçoit 6€ de moins
- Avec 29€, le comédien reçoit la même chose mais ça coûte 6€ de plus à la Cie
- Avec 35€, ça coûte 12€ de plus à la Cie et le comédien reçoit 12€ de plus</t>
        </r>
      </text>
    </comment>
  </commentList>
</comments>
</file>

<file path=xl/sharedStrings.xml><?xml version="1.0" encoding="utf-8"?>
<sst xmlns="http://schemas.openxmlformats.org/spreadsheetml/2006/main" count="2416" uniqueCount="880">
  <si>
    <t>Version</t>
  </si>
  <si>
    <t>I - DEPENSES</t>
  </si>
  <si>
    <t>Dates</t>
  </si>
  <si>
    <t>Base durée</t>
  </si>
  <si>
    <t>Durée</t>
  </si>
  <si>
    <t>AUTRES CHARGES</t>
  </si>
  <si>
    <t>Unité</t>
  </si>
  <si>
    <t>Nbre</t>
  </si>
  <si>
    <t>Costumes</t>
  </si>
  <si>
    <t>Consommables</t>
  </si>
  <si>
    <t>Documentation</t>
  </si>
  <si>
    <t>Transport décor</t>
  </si>
  <si>
    <t>Déplacement équipe</t>
  </si>
  <si>
    <t>Logement équipe</t>
  </si>
  <si>
    <t>Catering équipe</t>
  </si>
  <si>
    <t>Défraiements équipe</t>
  </si>
  <si>
    <t>Intervenant (fonction) 8</t>
  </si>
  <si>
    <t>Coût TTC</t>
  </si>
  <si>
    <t>EQUIPE DE CREATION</t>
  </si>
  <si>
    <t>Intervenant (fonction) 9</t>
  </si>
  <si>
    <t>Intervenant (fonction) 10</t>
  </si>
  <si>
    <t>Etapes de travail</t>
  </si>
  <si>
    <t>Détail</t>
  </si>
  <si>
    <t>Ecriture</t>
  </si>
  <si>
    <t>Encadrement</t>
  </si>
  <si>
    <t>Scénographie</t>
  </si>
  <si>
    <t>Jeu</t>
  </si>
  <si>
    <t>Dead Line</t>
  </si>
  <si>
    <t># pers.</t>
  </si>
  <si>
    <t>Jour</t>
  </si>
  <si>
    <t>BUDGET PREVISONNEL</t>
  </si>
  <si>
    <t>Catégories :</t>
  </si>
  <si>
    <t>#jours</t>
  </si>
  <si>
    <t>Montant unit.</t>
  </si>
  <si>
    <t>Auteur·e</t>
  </si>
  <si>
    <t>Costumi·er·ère</t>
  </si>
  <si>
    <t>Concepteur son</t>
  </si>
  <si>
    <t>Concepteur lumière</t>
  </si>
  <si>
    <t>Taux de charges patronales :</t>
  </si>
  <si>
    <t>Demande aide au projet</t>
  </si>
  <si>
    <t>Matériel technique (son, vidéo, éclairage)</t>
  </si>
  <si>
    <t xml:space="preserve">Décor (construction et matériaux) </t>
  </si>
  <si>
    <t>Stagiaire - Assistant</t>
  </si>
  <si>
    <t>Brut mensuel</t>
  </si>
  <si>
    <t>Régime</t>
  </si>
  <si>
    <t>5jours/sem</t>
  </si>
  <si>
    <t>Véhicules</t>
  </si>
  <si>
    <t>Frais de représentation / promotion / diffusion</t>
  </si>
  <si>
    <t>Frais formation</t>
  </si>
  <si>
    <t>Rétribution de tiers</t>
  </si>
  <si>
    <t>Location de bureaux / infrastructures</t>
  </si>
  <si>
    <t>Ref.</t>
  </si>
  <si>
    <t>Total jours</t>
  </si>
  <si>
    <t>Location de salle</t>
  </si>
  <si>
    <t>Diffusion</t>
  </si>
  <si>
    <t>Représentation</t>
  </si>
  <si>
    <t>Frais administratifs - Assurances</t>
  </si>
  <si>
    <t>Module de test</t>
  </si>
  <si>
    <t xml:space="preserve">Brut mensuel : </t>
  </si>
  <si>
    <t xml:space="preserve">Brut journalier : </t>
  </si>
  <si>
    <t xml:space="preserve">Brut total : </t>
  </si>
  <si>
    <t>Nbre de jours :</t>
  </si>
  <si>
    <t>Défraiement :</t>
  </si>
  <si>
    <t xml:space="preserve">Def. total : </t>
  </si>
  <si>
    <t xml:space="preserve">COUT TOTAL </t>
  </si>
  <si>
    <t>Montant net comédien</t>
  </si>
  <si>
    <t>Net</t>
  </si>
  <si>
    <t>Défraiement</t>
  </si>
  <si>
    <t>congés payés</t>
  </si>
  <si>
    <t>Total journ. :</t>
  </si>
  <si>
    <t>Total :</t>
  </si>
  <si>
    <t>BRUT</t>
  </si>
  <si>
    <t>- COTISA° PERSON. DE SECURITE SOCIALE (calculées sur le brut à 108 %)</t>
  </si>
  <si>
    <t xml:space="preserve"> </t>
  </si>
  <si>
    <t xml:space="preserve">- PRECOMPTE PROFESSIONNEL FORFAITAIRE </t>
  </si>
  <si>
    <t>NET A PAYER</t>
  </si>
  <si>
    <t>COTISATION DE SOLIDARITE</t>
  </si>
  <si>
    <t>COTISATION PERSONNELLE DE SECURITE SOCIALE</t>
  </si>
  <si>
    <t>PRECOMPTE PROFESSIONNEL</t>
  </si>
  <si>
    <t>ESTIMATION PECULE DE VACANCES NET VERSE PAR L'ONVA</t>
  </si>
  <si>
    <t>Salaire brut</t>
  </si>
  <si>
    <t>Répétitions</t>
  </si>
  <si>
    <t>Brut journ.</t>
  </si>
  <si>
    <t>Ref</t>
  </si>
  <si>
    <t>Défr.</t>
  </si>
  <si>
    <t>Fonction</t>
  </si>
  <si>
    <t>SYSART</t>
  </si>
  <si>
    <t>Calcul journalier</t>
  </si>
  <si>
    <t>FRAIS</t>
  </si>
  <si>
    <t>REMUNERATIONS</t>
  </si>
  <si>
    <t xml:space="preserve">Total : </t>
  </si>
  <si>
    <t>Personne / fonction</t>
  </si>
  <si>
    <t>Totaux</t>
  </si>
  <si>
    <t>TOTAL :</t>
  </si>
  <si>
    <t xml:space="preserve">Total Rémunérations : </t>
  </si>
  <si>
    <t xml:space="preserve">Total frais : </t>
  </si>
  <si>
    <t>ETAPE DE TRAVAIL D</t>
  </si>
  <si>
    <t>ETAPE DE TRAVAIL E</t>
  </si>
  <si>
    <t>REMUNERATIONS EQUIPE DE CREATION</t>
  </si>
  <si>
    <t>REMUNERATIONS ETAPE A</t>
  </si>
  <si>
    <t>Charges ETAPE A</t>
  </si>
  <si>
    <t>REMUNERATIONS ETAPE B</t>
  </si>
  <si>
    <t>Charges ETAPE B</t>
  </si>
  <si>
    <t>REMUNERATIONS ETAPE C</t>
  </si>
  <si>
    <t>Charges ETAPE C</t>
  </si>
  <si>
    <t>REMUNERATIONS ETAPE D</t>
  </si>
  <si>
    <t>Charges ETAPE D</t>
  </si>
  <si>
    <t>REMUNERATIONS ETAPE E</t>
  </si>
  <si>
    <t>Charges ETAPE E</t>
  </si>
  <si>
    <t>TOTAL REMUNERATIONS</t>
  </si>
  <si>
    <t>TOTAL CHARGES</t>
  </si>
  <si>
    <t>RECAPITULATIF</t>
  </si>
  <si>
    <t>TOTAL DEPENSES :</t>
  </si>
  <si>
    <t>Ecriture 3 x 7 histoires</t>
  </si>
  <si>
    <t>Ecriture / adaptation</t>
  </si>
  <si>
    <t>Enregistrement vidéo</t>
  </si>
  <si>
    <t>Enregistrement lectures</t>
  </si>
  <si>
    <t>ETAPE A</t>
  </si>
  <si>
    <t>ETAPE B</t>
  </si>
  <si>
    <t>ETAPE C</t>
  </si>
  <si>
    <t>technique son 21 casques + émetteur</t>
  </si>
  <si>
    <t>Accessoires (chaises)</t>
  </si>
  <si>
    <t>Metteur en scène</t>
  </si>
  <si>
    <t>Comédien</t>
  </si>
  <si>
    <t>ETAPE DE TRAVAIL A (répétitions)</t>
  </si>
  <si>
    <t>ETAPE DE TRAVAIL B (vidéo)</t>
  </si>
  <si>
    <t>Technicien</t>
  </si>
  <si>
    <t>ETAPE DE TRAVAIL C (enregistrement lectures)</t>
  </si>
  <si>
    <t>jour</t>
  </si>
  <si>
    <t>Location de studio</t>
  </si>
  <si>
    <t>ETAPE DE TRAVAIL C</t>
  </si>
  <si>
    <t>ETAPE DE TRAVAIL B</t>
  </si>
  <si>
    <t>ETAPE DE TRAVAIL A</t>
  </si>
  <si>
    <t>technique son</t>
  </si>
  <si>
    <t>Accessoires</t>
  </si>
  <si>
    <t>La Cie des Bonimenteurs</t>
  </si>
  <si>
    <t>GIEC</t>
  </si>
  <si>
    <t>II - RECETTES</t>
  </si>
  <si>
    <t>REPRESENTATIONS</t>
  </si>
  <si>
    <t>Représentation 1</t>
  </si>
  <si>
    <t>Représentation 2</t>
  </si>
  <si>
    <t>Représentation 3</t>
  </si>
  <si>
    <t xml:space="preserve">Total subventions : </t>
  </si>
  <si>
    <t>COPRODUCTIONS - PARTENARIATS - FONDS PROPRES</t>
  </si>
  <si>
    <t>Coproduction - partenariat - fonds propres 1</t>
  </si>
  <si>
    <t>Coproduction - partenariat - fonds propres 2</t>
  </si>
  <si>
    <t>Coproduction - partenariat - fonds propres 3</t>
  </si>
  <si>
    <t>Coproduction - partenariat - fonds propres 4</t>
  </si>
  <si>
    <t>Coproduction - partenariat - fonds propres 5</t>
  </si>
  <si>
    <t xml:space="preserve">Total coproductions : </t>
  </si>
  <si>
    <t>SUBVENTIONS - AIDES - BOURSES</t>
  </si>
  <si>
    <t>Subvention - aide - bourse 1</t>
  </si>
  <si>
    <t>Subvention - aide - bourse 2</t>
  </si>
  <si>
    <t>Subvention - aide - bourse 3</t>
  </si>
  <si>
    <t>Subvention - aide - bourse 4</t>
  </si>
  <si>
    <t>Subvention - aide - bourse 5</t>
  </si>
  <si>
    <t>TAX-SHELTER</t>
  </si>
  <si>
    <t>NET</t>
  </si>
  <si>
    <t xml:space="preserve">Total Tax-Shelter : </t>
  </si>
  <si>
    <t xml:space="preserve">Total Recettes : </t>
  </si>
  <si>
    <t xml:space="preserve">Résultat : </t>
  </si>
  <si>
    <t>Résultat :</t>
  </si>
  <si>
    <t>Produits :</t>
  </si>
  <si>
    <t>Charges :</t>
  </si>
  <si>
    <t>Total Masses salariales</t>
  </si>
  <si>
    <t>Sous total Masses salariales artistiques</t>
  </si>
  <si>
    <t>Masse salariale Artistique artisans (MSAA)</t>
  </si>
  <si>
    <t>Masse salariale Artistique technique (MSAT)</t>
  </si>
  <si>
    <t>Masse salariale Artistique (MSA)</t>
  </si>
  <si>
    <t>Sous total masses salariales non-artistiques</t>
  </si>
  <si>
    <t>Masse salariale Divers (MSDIV)</t>
  </si>
  <si>
    <t>Masse salariale Activité (MSACT)</t>
  </si>
  <si>
    <t>Masse salariale Relations publiques (MSRP)</t>
  </si>
  <si>
    <t>Masse salariale Fonctionnement (MSF)</t>
  </si>
  <si>
    <t>(%) par rapport au total des charges</t>
  </si>
  <si>
    <t>Répartition des charges salariales</t>
  </si>
  <si>
    <t>Total charges hors salaires</t>
  </si>
  <si>
    <t>Fonctionnement (F) (hors salaires)</t>
  </si>
  <si>
    <t>Activités (ACT)  (hors salaires)</t>
  </si>
  <si>
    <t>Infrastructure (I)</t>
  </si>
  <si>
    <t>Répartition des charges par catégories</t>
  </si>
  <si>
    <t>60/66</t>
  </si>
  <si>
    <t>Charges Totales</t>
  </si>
  <si>
    <t>F</t>
  </si>
  <si>
    <t xml:space="preserve">Charges exceptionnelles </t>
  </si>
  <si>
    <t xml:space="preserve">Charges financières </t>
  </si>
  <si>
    <t xml:space="preserve">Autres charges d'exploitation </t>
  </si>
  <si>
    <t xml:space="preserve">Amortissements, réductions de valeur &amp; provisions pour risques </t>
  </si>
  <si>
    <t>MSF</t>
  </si>
  <si>
    <t>- des autres membres du personnel sous autres statuts</t>
  </si>
  <si>
    <t>6203/9</t>
  </si>
  <si>
    <t>Autres :</t>
  </si>
  <si>
    <t>MSACT</t>
  </si>
  <si>
    <t>6203/8</t>
  </si>
  <si>
    <t>Sécurité / Surveillance</t>
  </si>
  <si>
    <t>6203/7</t>
  </si>
  <si>
    <t>Scène (y compris habilleur, coiffeur, …)</t>
  </si>
  <si>
    <t>6203/6</t>
  </si>
  <si>
    <t>Salle</t>
  </si>
  <si>
    <t>MSAT</t>
  </si>
  <si>
    <t>6203/5</t>
  </si>
  <si>
    <t>Régie</t>
  </si>
  <si>
    <t>6203/4</t>
  </si>
  <si>
    <t>Entretien et maintenance</t>
  </si>
  <si>
    <t>6203/3</t>
  </si>
  <si>
    <t>cafétaria / restaurant</t>
  </si>
  <si>
    <t>MSAA</t>
  </si>
  <si>
    <t>6203/2</t>
  </si>
  <si>
    <t>Atelier construction décor</t>
  </si>
  <si>
    <t>6203/1</t>
  </si>
  <si>
    <t>Atelier confection costumes</t>
  </si>
  <si>
    <t>6203/0</t>
  </si>
  <si>
    <t>Atelier construction accessoires</t>
  </si>
  <si>
    <t xml:space="preserve">- des personnels ouvriers </t>
  </si>
  <si>
    <t>Artisan (à détailler : confection costumes, construction décor, habilleuse, maquilleuse, coiffeur ...)</t>
  </si>
  <si>
    <t>Technique  (à détailler : régie générale, régie plateau, régie son, régie lumière, régie vidéo, ...)</t>
  </si>
  <si>
    <t>Médiation (à détailler : relations avec le public scoalire, relation autres publics, animation, atelier, ...)</t>
  </si>
  <si>
    <t>62024/23</t>
  </si>
  <si>
    <t>Autres (à détailler)</t>
  </si>
  <si>
    <t>62024/22</t>
  </si>
  <si>
    <t>Vidéaste</t>
  </si>
  <si>
    <t>62024/21</t>
  </si>
  <si>
    <t>62024/20</t>
  </si>
  <si>
    <t>Répétiteur</t>
  </si>
  <si>
    <t>62024/19</t>
  </si>
  <si>
    <t>Musicien</t>
  </si>
  <si>
    <t>62024/18</t>
  </si>
  <si>
    <t>62024/17</t>
  </si>
  <si>
    <t>Marionnettiste</t>
  </si>
  <si>
    <t>62024/16</t>
  </si>
  <si>
    <t>Ingénieur son</t>
  </si>
  <si>
    <t>62024/15</t>
  </si>
  <si>
    <t>Danseur</t>
  </si>
  <si>
    <t>62024/14</t>
  </si>
  <si>
    <t>Créateur son ou ingénieur son</t>
  </si>
  <si>
    <t>62024/13</t>
  </si>
  <si>
    <t>Créateur Maquillage et coiffure</t>
  </si>
  <si>
    <t>62024/12</t>
  </si>
  <si>
    <t>Créateur lumière ou ingénieur lumière</t>
  </si>
  <si>
    <t>62024/11</t>
  </si>
  <si>
    <t>Costumier</t>
  </si>
  <si>
    <t>62024/10</t>
  </si>
  <si>
    <t>62024/09</t>
  </si>
  <si>
    <t>62024/08</t>
  </si>
  <si>
    <t>Coach</t>
  </si>
  <si>
    <t>62024/07</t>
  </si>
  <si>
    <t>Choriste</t>
  </si>
  <si>
    <t>62024/06</t>
  </si>
  <si>
    <t>Chorégraphe</t>
  </si>
  <si>
    <t>62024/05</t>
  </si>
  <si>
    <t>Chef d'orchestre</t>
  </si>
  <si>
    <t>62024/04</t>
  </si>
  <si>
    <t>Chanteur</t>
  </si>
  <si>
    <t>62024/03</t>
  </si>
  <si>
    <t>62024/02</t>
  </si>
  <si>
    <t>Arrangeur</t>
  </si>
  <si>
    <t>62024/01</t>
  </si>
  <si>
    <t>Accessoiriste</t>
  </si>
  <si>
    <t>62024/00</t>
  </si>
  <si>
    <t>MSA</t>
  </si>
  <si>
    <t>Artistes</t>
  </si>
  <si>
    <t>Accueil des publics (à détailler : billetterie, téléopérateur, chef de salle, ouvreur, horéca, ...)</t>
  </si>
  <si>
    <t>MSRP</t>
  </si>
  <si>
    <t>Administration (à détailler )</t>
  </si>
  <si>
    <t xml:space="preserve">- des personnels employés </t>
  </si>
  <si>
    <t>6201/5</t>
  </si>
  <si>
    <t>6201/4</t>
  </si>
  <si>
    <t>Technique</t>
  </si>
  <si>
    <t>6201/3</t>
  </si>
  <si>
    <t>Relations publiques et/ou communication</t>
  </si>
  <si>
    <t>6201/2</t>
  </si>
  <si>
    <t>Administrative</t>
  </si>
  <si>
    <t>6201/11</t>
  </si>
  <si>
    <t>Musicale</t>
  </si>
  <si>
    <t>6201/10</t>
  </si>
  <si>
    <t>Artistique générale</t>
  </si>
  <si>
    <t>6201/1</t>
  </si>
  <si>
    <t>Artistique</t>
  </si>
  <si>
    <t>6201/0</t>
  </si>
  <si>
    <t>Générale</t>
  </si>
  <si>
    <t xml:space="preserve">- des personnels de direction </t>
  </si>
  <si>
    <t xml:space="preserve">- des administrateurs ou gérants </t>
  </si>
  <si>
    <t>Rémunérations &amp; avantages sociaux directs</t>
  </si>
  <si>
    <t>Rémunérations toutes charges comprises</t>
  </si>
  <si>
    <t>6199/4</t>
  </si>
  <si>
    <t>autres (à détailler)</t>
  </si>
  <si>
    <t>6199/3</t>
  </si>
  <si>
    <t>pour gardiennage et sécurité</t>
  </si>
  <si>
    <t>6199/2</t>
  </si>
  <si>
    <t>pour accueil des publics</t>
  </si>
  <si>
    <t>6199/1</t>
  </si>
  <si>
    <t>6199/0</t>
  </si>
  <si>
    <t>Autres rétribution de tiers &amp; prestations</t>
  </si>
  <si>
    <t xml:space="preserve">Rétribution de tiers &amp; prestations techniques </t>
  </si>
  <si>
    <t xml:space="preserve">Rétribution de tiers &amp; prestations de formation </t>
  </si>
  <si>
    <t xml:space="preserve">&amp; d'information, en ce compris le journalisme </t>
  </si>
  <si>
    <t>Rétribution de tiers &amp; prestations de recherche, d'étude, d'analyse</t>
  </si>
  <si>
    <t>Rétribution de tiers &amp; prestations d'administration &amp; gestion</t>
  </si>
  <si>
    <t xml:space="preserve">Rétribution de tiers &amp; prestations culturelles polyvalentes ou spécialisées </t>
  </si>
  <si>
    <t>Chèque A.L.E.</t>
  </si>
  <si>
    <t xml:space="preserve">Petites indemnités d'artistes </t>
  </si>
  <si>
    <t xml:space="preserve">Indemnités pour activités de volontariat </t>
  </si>
  <si>
    <t xml:space="preserve">Autres rétributions &amp; indemnités </t>
  </si>
  <si>
    <t>MSDIV</t>
  </si>
  <si>
    <t xml:space="preserve">Rémunérations, primes &amp; pensions hors contrat de travail </t>
  </si>
  <si>
    <t xml:space="preserve">Personnel intérimaire &amp; personnel mis à disposition </t>
  </si>
  <si>
    <t>ACT</t>
  </si>
  <si>
    <t xml:space="preserve">Autres frais spécifiques de production, de diffusion &amp; d'exploitation </t>
  </si>
  <si>
    <t>Commissions de régie publicitaire</t>
  </si>
  <si>
    <t>6163/9</t>
  </si>
  <si>
    <t>Autres droits, prix &amp; subsides attribués que 61630 à 61635</t>
  </si>
  <si>
    <t>6163/5</t>
  </si>
  <si>
    <t xml:space="preserve">Reprobel </t>
  </si>
  <si>
    <t>6163/4</t>
  </si>
  <si>
    <t xml:space="preserve">Subsides à des savants, des écrivains ou des artistes </t>
  </si>
  <si>
    <t>6163/3</t>
  </si>
  <si>
    <t xml:space="preserve">Prix à des savants, des  écrivains ou des artistes </t>
  </si>
  <si>
    <t>6163/2</t>
  </si>
  <si>
    <t>Droits attribués en vue de la reproduction d'œuvres</t>
  </si>
  <si>
    <t>6163/1</t>
  </si>
  <si>
    <t xml:space="preserve">Droits de suite, de diffusion &amp; d'exécution d'œuvres </t>
  </si>
  <si>
    <t>6163/0</t>
  </si>
  <si>
    <t>Droits d'auteurs, prix &amp; subsides attribués</t>
  </si>
  <si>
    <t xml:space="preserve">Rétrocessions de recettes de coproduction </t>
  </si>
  <si>
    <t xml:space="preserve">Apports versés à titre de coproduction </t>
  </si>
  <si>
    <t>6160/9</t>
  </si>
  <si>
    <t>Achats &amp; locations d'autres matériels techniques que 61600 à 61607</t>
  </si>
  <si>
    <t>6160/8</t>
  </si>
  <si>
    <t>Achats &amp; locations d'autres matériels artistiques que 61600 à 61607</t>
  </si>
  <si>
    <t>6160/7</t>
  </si>
  <si>
    <t xml:space="preserve">Achats, locations &amp; entretiens de matériels pédagogiques </t>
  </si>
  <si>
    <t>6160/6</t>
  </si>
  <si>
    <t xml:space="preserve">Achats, locations &amp; entretiens de petit matériel, outillage &amp; vêtements du travail </t>
  </si>
  <si>
    <t>6160/5</t>
  </si>
  <si>
    <t xml:space="preserve">développement &amp; montage </t>
  </si>
  <si>
    <t>Achats, locations &amp; entretiens spécifiques pour prise de vues,</t>
  </si>
  <si>
    <t>6160/4</t>
  </si>
  <si>
    <t xml:space="preserve">Achats, locations &amp; entretiens de matériels d'orchestre </t>
  </si>
  <si>
    <t>6160/3</t>
  </si>
  <si>
    <t xml:space="preserve">Achats, locations &amp; entretiens spécifiques des perruques &amp; maquillages </t>
  </si>
  <si>
    <t>6160/2</t>
  </si>
  <si>
    <t xml:space="preserve">Achats, locations &amp; entretiens spécifiques d'accessoires </t>
  </si>
  <si>
    <t>6160/1</t>
  </si>
  <si>
    <t xml:space="preserve">Achats, locations &amp; entretiens spécifiques des costumes </t>
  </si>
  <si>
    <t>6160/0</t>
  </si>
  <si>
    <t>Autres frais spécifiques de matériels artistiques &amp; techniques</t>
  </si>
  <si>
    <t xml:space="preserve">Autres frais spécifiques de production d'autres biens &amp; objets </t>
  </si>
  <si>
    <t xml:space="preserve">Autres frais spécifiques de production d'autres biens &amp; objets culturels </t>
  </si>
  <si>
    <t xml:space="preserve">Autres frais spécifiques de conservation &amp; restauration </t>
  </si>
  <si>
    <t xml:space="preserve">Autres frais spécifiques de production de matériels pédagogiques </t>
  </si>
  <si>
    <t>6153/9</t>
  </si>
  <si>
    <t>- frais des éditions non dissociés</t>
  </si>
  <si>
    <t>6153/8</t>
  </si>
  <si>
    <t>- sur d'autres supports que visés de 61530 à 61533</t>
  </si>
  <si>
    <t>6153/2</t>
  </si>
  <si>
    <t>-sur support multimédia (CD Rom, …)</t>
  </si>
  <si>
    <t>6153/1</t>
  </si>
  <si>
    <t>- sur support audio et audiovisuel (Bandes, CD, …) à détailler</t>
  </si>
  <si>
    <t>6153/0</t>
  </si>
  <si>
    <t>- sur support papier (Photo, impression pochette, livret, …) à détailler</t>
  </si>
  <si>
    <t xml:space="preserve">Autres frais spécifiques des éditions </t>
  </si>
  <si>
    <t>6152/9</t>
  </si>
  <si>
    <t xml:space="preserve">Achats &amp; locations non dissociés de spectacles &amp; manifestations </t>
  </si>
  <si>
    <t>6152/8</t>
  </si>
  <si>
    <t xml:space="preserve">Achats &amp; locations d'autres spectacles &amp; manifestations </t>
  </si>
  <si>
    <t>6152/3</t>
  </si>
  <si>
    <t>Commandes de programmes télévisuels et NTIC</t>
  </si>
  <si>
    <t>6152/2</t>
  </si>
  <si>
    <t>Achats &amp; locations de programmes télévisuels et NTIC</t>
  </si>
  <si>
    <t>6152/1</t>
  </si>
  <si>
    <t>Achats &amp; locations de spectacles mécanisés</t>
  </si>
  <si>
    <t>6152/0</t>
  </si>
  <si>
    <t xml:space="preserve">Achats de spectacles vivants </t>
  </si>
  <si>
    <t>Autres frais spécifiques de spectacles, programmes &amp; manifestations</t>
  </si>
  <si>
    <t xml:space="preserve">Autres frais spécifiques pour des expositions </t>
  </si>
  <si>
    <t>Autres frais spécifiques pour animations, débats &amp; formations</t>
  </si>
  <si>
    <t>Droits d'accès à des manifestations ou à des activités culturelles</t>
  </si>
  <si>
    <t xml:space="preserve">Achats &amp; locations de documentation &amp; études culturelles </t>
  </si>
  <si>
    <t xml:space="preserve">Accès à des services &amp; manifestations pour visionnements </t>
  </si>
  <si>
    <t xml:space="preserve">Achats &amp; inscription à des formations pour le personnel   </t>
  </si>
  <si>
    <t>Documentation générale &amp; agences de presse</t>
  </si>
  <si>
    <t>Autres frais de promotion, publicité &amp; relations publiques</t>
  </si>
  <si>
    <t>Locations &amp; charges des stands &amp; salons professionnels</t>
  </si>
  <si>
    <t>6136/1</t>
  </si>
  <si>
    <t>Pour accueil artistes belges ou étrangers</t>
  </si>
  <si>
    <t>6136/0</t>
  </si>
  <si>
    <t>Pour prospection</t>
  </si>
  <si>
    <t>Hôtels, hérbergements, per diem "nuitées"</t>
  </si>
  <si>
    <t xml:space="preserve">Frais d'accueil &amp; décoration </t>
  </si>
  <si>
    <t>6134/1</t>
  </si>
  <si>
    <t>6134/0</t>
  </si>
  <si>
    <t>Traiteur, alimentation, boissons, restaurant, perdiem "repas"</t>
  </si>
  <si>
    <r>
      <t>Achats d'espaces publicitaires &amp; échanges promotionnels</t>
    </r>
    <r>
      <rPr>
        <strike/>
        <sz val="12"/>
        <color rgb="FFFF0000"/>
        <rFont val="Arial"/>
        <family val="2"/>
      </rPr>
      <t xml:space="preserve"> </t>
    </r>
  </si>
  <si>
    <t xml:space="preserve">Impressions d'un périodique d'information &amp; de promotion </t>
  </si>
  <si>
    <t xml:space="preserve">Autres frais &amp; frais non dissociés d'administration </t>
  </si>
  <si>
    <t>Tickets, imprimés de ticketterie, bracelets &amp; badges  d'accès</t>
  </si>
  <si>
    <t>Autres assurances pour responsabilité civile &amp; risques divers</t>
  </si>
  <si>
    <t>Frais de dépôts &amp; publications, documents administratifs</t>
  </si>
  <si>
    <t>Secrétariat social, frais de gestion chèques-repas &amp; autres services sociaux</t>
  </si>
  <si>
    <t>Petit matériel, accessoires &amp; petit mobilier de bureau</t>
  </si>
  <si>
    <t>Duplications, Imprimés, enveloppes, fournitures &amp; consommables de bureau</t>
  </si>
  <si>
    <t xml:space="preserve">Télécommunications &amp; NTIC </t>
  </si>
  <si>
    <t xml:space="preserve">Postes &amp; expéditions </t>
  </si>
  <si>
    <t>Autres frais de transport &amp; de véhicules, parking, péages</t>
  </si>
  <si>
    <t xml:space="preserve">Remboursement de frais de transports pour missions </t>
  </si>
  <si>
    <t>6116/1</t>
  </si>
  <si>
    <t>Transports routiers, aériens, martimes pour personnel</t>
  </si>
  <si>
    <t>6116/0</t>
  </si>
  <si>
    <t>Transports routiers, aériens, martimes pour décor et marchandises</t>
  </si>
  <si>
    <t>Transports routiers, aériens, maritimes, déménagements</t>
  </si>
  <si>
    <t>Transports publics, trains, tram, bus, vélos publics</t>
  </si>
  <si>
    <t>Assurances transports, véhicules &amp; passagers, assistance</t>
  </si>
  <si>
    <t xml:space="preserve">Maintenance, réparation &amp; entretien des véhicules </t>
  </si>
  <si>
    <t xml:space="preserve">Carburants </t>
  </si>
  <si>
    <t>6111/8</t>
  </si>
  <si>
    <t>- d'autres véhicules que 61110 à 61113</t>
  </si>
  <si>
    <t>6111/3</t>
  </si>
  <si>
    <t>- de bus &amp; minibus  (Transport de personnes)</t>
  </si>
  <si>
    <t>6111/2</t>
  </si>
  <si>
    <t>- de roulottes, cars de captation &amp; matériel roulant spécifique</t>
  </si>
  <si>
    <t>6111/1</t>
  </si>
  <si>
    <t xml:space="preserve">- de voitures </t>
  </si>
  <si>
    <t>6111/0</t>
  </si>
  <si>
    <t>- de camions &amp; camionnettes (transport décors et marchandises)</t>
  </si>
  <si>
    <t>Locations non permanentes de véhicules</t>
  </si>
  <si>
    <t>6110/8</t>
  </si>
  <si>
    <t>- d'autres véhicules que 61100 à 61103</t>
  </si>
  <si>
    <t>6110/3</t>
  </si>
  <si>
    <t>- de bus &amp; minibus (Transport de personnes)</t>
  </si>
  <si>
    <t>6110/2</t>
  </si>
  <si>
    <t>- de roulottes &amp; matériel roulant spécifique</t>
  </si>
  <si>
    <t>6110/1</t>
  </si>
  <si>
    <t>6110/0</t>
  </si>
  <si>
    <t>- Locations permanente de camions et camionnettes (transport décors et marchandises)</t>
  </si>
  <si>
    <t xml:space="preserve">Locations permanentes de véhicules  </t>
  </si>
  <si>
    <t>Autres frais &amp; frais non dissociés des équipements</t>
  </si>
  <si>
    <t>Signalisation, premiers secours, sécurité, gardiennage</t>
  </si>
  <si>
    <t>I</t>
  </si>
  <si>
    <t>Prévention &amp; assurances incendie, dégâts des eaux,</t>
  </si>
  <si>
    <t>Déchets</t>
  </si>
  <si>
    <t>Maintenance, réparation &amp; entretien (hors rétribution)</t>
  </si>
  <si>
    <t>Produits &amp; petits matériels de nettoyage</t>
  </si>
  <si>
    <t xml:space="preserve">Energies </t>
  </si>
  <si>
    <t xml:space="preserve">Eau </t>
  </si>
  <si>
    <t>- d'autres équipements que 61010 à 61014</t>
  </si>
  <si>
    <t>- d'instruments de musique</t>
  </si>
  <si>
    <t>- de matériels &amp; mobiliers de bureau</t>
  </si>
  <si>
    <t>61011/4</t>
  </si>
  <si>
    <t>Autres</t>
  </si>
  <si>
    <t>61011/3</t>
  </si>
  <si>
    <t>Studio (tournage, enregistrement, mixage, montage…)</t>
  </si>
  <si>
    <t>61011/2</t>
  </si>
  <si>
    <t>Salle de répétition</t>
  </si>
  <si>
    <t>61011/1</t>
  </si>
  <si>
    <t>Bureau</t>
  </si>
  <si>
    <t>- de bâtiments</t>
  </si>
  <si>
    <t xml:space="preserve">- de terrains </t>
  </si>
  <si>
    <t xml:space="preserve">Loyers &amp; locations non permanents des équipements </t>
  </si>
  <si>
    <t>- d'autres équipements que 61000 à 61004</t>
  </si>
  <si>
    <t>61001/3</t>
  </si>
  <si>
    <t>61001/2</t>
  </si>
  <si>
    <t>61001/1</t>
  </si>
  <si>
    <t>61001/0</t>
  </si>
  <si>
    <t>Loyers &amp; locations permanents des équipements</t>
  </si>
  <si>
    <t xml:space="preserve">Services &amp; biens divers </t>
  </si>
  <si>
    <t>Variations des stocks</t>
  </si>
  <si>
    <t xml:space="preserve">Achats de marchandises </t>
  </si>
  <si>
    <t xml:space="preserve">Sous-traitances générales </t>
  </si>
  <si>
    <t xml:space="preserve">Achats de services, travaux &amp; études </t>
  </si>
  <si>
    <t xml:space="preserve">Achats de fournitures </t>
  </si>
  <si>
    <t xml:space="preserve">Approvisionnements </t>
  </si>
  <si>
    <t>60/61</t>
  </si>
  <si>
    <t xml:space="preserve">Approvisionnements, marchandises, services &amp; biens divers </t>
  </si>
  <si>
    <t>CODE REPARTITION CATEGORIE</t>
  </si>
  <si>
    <t>Total</t>
  </si>
  <si>
    <t>Codes</t>
  </si>
  <si>
    <t>BUDGET  PREVISIONNEL (contrats-programmes et contrats de création/service/diffusion)</t>
  </si>
  <si>
    <t>Remarques préalables</t>
  </si>
  <si>
    <t>Avant de compléter les tableaux, veuillez renseigner dans les comptes de Charges et Produits (à la ligne 5) la date à laquelle se réfère l'exercice (à la saison ou à l'année civile)</t>
  </si>
  <si>
    <r>
      <t xml:space="preserve">Veillez, en cas d'ajout d'une ou de plusieurs subdivisions dans un compte de charge, à assurer leur répercussions dans les différents champs calculés. </t>
    </r>
    <r>
      <rPr>
        <b/>
        <sz val="12"/>
        <color rgb="FFFF0000"/>
        <rFont val="Arial"/>
        <family val="2"/>
      </rPr>
      <t>Nous vous invitons à ne recourir à ces ajouts qu'avec parcimonie, dans le cas où une dépenses ou une charge essentielle à la compréhension de vos comptes doit bénéficier d'un item spécifique non prévu dans le formulaire.</t>
    </r>
  </si>
  <si>
    <r>
      <t xml:space="preserve">Les catégories ici proposées sont une mesure indicative générale </t>
    </r>
    <r>
      <rPr>
        <b/>
        <u/>
        <sz val="12"/>
        <rFont val="Arial"/>
        <family val="2"/>
      </rPr>
      <t>commune à tous les opérateurs en arts de la scène</t>
    </r>
    <r>
      <rPr>
        <b/>
        <sz val="12"/>
        <rFont val="Arial"/>
        <family val="2"/>
      </rPr>
      <t>. Elles sont conçues sur la base des comptes généraux et e</t>
    </r>
    <r>
      <rPr>
        <b/>
        <sz val="12"/>
        <color rgb="FFFF0000"/>
        <rFont val="Arial"/>
        <family val="2"/>
      </rPr>
      <t xml:space="preserve">squisse une logique analytique visant une </t>
    </r>
    <r>
      <rPr>
        <b/>
        <sz val="12"/>
        <rFont val="Arial"/>
        <family val="2"/>
      </rPr>
      <t xml:space="preserve">vision générale de l'affectation des moyens (charges et produits).
</t>
    </r>
    <r>
      <rPr>
        <b/>
        <sz val="12"/>
        <color rgb="FFFF0000"/>
        <rFont val="Arial"/>
        <family val="2"/>
      </rPr>
      <t xml:space="preserve">Nous avons veillé à trouver un équilibre entre la nécessaire granularité de l'information et la tout aussi nécessaire volonté de simplification administrative. La tâche ici demandée est importante et nous vous invitons à vous servir de ce budget, au delà de la démarche administrative, mais comme </t>
    </r>
    <r>
      <rPr>
        <b/>
        <u/>
        <sz val="12"/>
        <color rgb="FFFF0000"/>
        <rFont val="Arial"/>
        <family val="2"/>
      </rPr>
      <t>un outil de gestion interne</t>
    </r>
    <r>
      <rPr>
        <b/>
        <sz val="12"/>
        <color rgb="FFFF0000"/>
        <rFont val="Arial"/>
        <family val="2"/>
      </rPr>
      <t>. A ce titre, n'hésitez pas à procéder au moins une fois pas an à l'actualisation (suivi) de vos données pour votre usage interne (notamment pour la communication au Conseil d'administration ou à l'Assemblée générale).
Les comptes de résultats procéderont des mêmes logiques - ils donneront la vision bilantaire de vos budgets prévisionnels (et nous vous invitons à analyser les écarts significatifs entre ces deux outils de gestion).</t>
    </r>
  </si>
  <si>
    <r>
      <rPr>
        <b/>
        <sz val="12"/>
        <color rgb="FFFF0000"/>
        <rFont val="Arial"/>
        <family val="2"/>
      </rPr>
      <t>En esquisse analytique</t>
    </r>
    <r>
      <rPr>
        <b/>
        <sz val="12"/>
        <rFont val="Arial"/>
        <family val="2"/>
      </rPr>
      <t xml:space="preserve">, </t>
    </r>
    <r>
      <rPr>
        <b/>
        <u/>
        <sz val="12"/>
        <rFont val="Arial"/>
        <family val="2"/>
      </rPr>
      <t>hors masses salariales</t>
    </r>
    <r>
      <rPr>
        <b/>
        <sz val="12"/>
        <rFont val="Arial"/>
        <family val="2"/>
      </rPr>
      <t>, trois</t>
    </r>
    <r>
      <rPr>
        <b/>
        <sz val="12"/>
        <color rgb="FF33CC33"/>
        <rFont val="Arial"/>
        <family val="2"/>
      </rPr>
      <t xml:space="preserve"> </t>
    </r>
    <r>
      <rPr>
        <b/>
        <sz val="12"/>
        <rFont val="Arial"/>
        <family val="2"/>
      </rPr>
      <t xml:space="preserve">catégories sont déterminées </t>
    </r>
    <r>
      <rPr>
        <b/>
        <sz val="12"/>
        <color rgb="FFFF0000"/>
        <rFont val="Arial"/>
        <family val="2"/>
      </rPr>
      <t>(dernière colonne)</t>
    </r>
    <r>
      <rPr>
        <b/>
        <sz val="12"/>
        <rFont val="Arial"/>
        <family val="2"/>
      </rPr>
      <t xml:space="preserve"> : 
La première catégorie "Infrastructure" (code "I") concerne toutes les dépenses lièes aux batiments et aux équipements de ceux-ci ainsi que leur entretiens.
La deuxième catégorie, "Activité" (Code "ACT")  regroupe les dépenses en rapport direct avec les activités artistiques spécifiques. </t>
    </r>
    <r>
      <rPr>
        <b/>
        <sz val="12"/>
        <color rgb="FF00B050"/>
        <rFont val="Arial"/>
        <family val="2"/>
      </rPr>
      <t xml:space="preserve">
</t>
    </r>
    <r>
      <rPr>
        <b/>
        <sz val="12"/>
        <rFont val="Arial"/>
        <family val="2"/>
      </rPr>
      <t>La troisième catégorie, "Fonctionnement" (Code "F") comprend toutes les dépenses nécéssaires à la bonne marche et au développement des activités de l'organisation.</t>
    </r>
  </si>
  <si>
    <r>
      <rPr>
        <b/>
        <u/>
        <sz val="12"/>
        <rFont val="Arial"/>
        <family val="2"/>
      </rPr>
      <t>Au niveau de la masse salariale</t>
    </r>
    <r>
      <rPr>
        <b/>
        <sz val="12"/>
        <rFont val="Arial"/>
        <family val="2"/>
      </rPr>
      <t>, il importe avant tout de connaitre les projections des differents moyens investis (y compris les rétributions de tiers) relatifs à l'artistique</t>
    </r>
    <r>
      <rPr>
        <b/>
        <sz val="12"/>
        <rFont val="Arial"/>
        <family val="2"/>
      </rPr>
      <t>), au fonctionnement (Code "MSF"), aux activités (Code "MSACT"), ainsi qu'aux relations publiques (Code "MSRP").
La catégorie artistique est scindée en trois partie, une pour les métiers de créations (Code "MSA"), l'autre pour les métiers techniques (Code "MSAT"), la troisième pour les artisans (confections, Code "MSAA"). 
Une catégorie (Code "MSDIV") reprend ce qui sans précisions supplémentaires ne peut être distribué dans une autre catégorie. 
Cette catégorisation est indépendante des discussions relatives au statut d'artiste.</t>
    </r>
  </si>
  <si>
    <t xml:space="preserve">PRODUITS </t>
  </si>
  <si>
    <t xml:space="preserve">Ventes et prestations </t>
  </si>
  <si>
    <t>70/74</t>
  </si>
  <si>
    <t>Chiffre d'affaires</t>
  </si>
  <si>
    <t>Recettes &amp; droits perçus en qualité d'organisateur d'activités culturelles</t>
  </si>
  <si>
    <t xml:space="preserve">Abonnements &amp; inscriptions annuelles </t>
  </si>
  <si>
    <t xml:space="preserve">Droits de location, droits d'accès individuels &amp; collectifs </t>
  </si>
  <si>
    <t>Droits, cessions de droits, licences &amp; royalties</t>
  </si>
  <si>
    <t>Droits, cessions de droits de diffusion des programmes télévisuels</t>
  </si>
  <si>
    <t>Autres recettes &amp; droits que 7000 à 7003 &amp; 7008</t>
  </si>
  <si>
    <t xml:space="preserve">Prestations de services culturels auprès de tiers organisateurs </t>
  </si>
  <si>
    <t xml:space="preserve">Spectacles &amp; manifestations d'art vivant </t>
  </si>
  <si>
    <t>- en Communauté française</t>
  </si>
  <si>
    <t>7010/0</t>
  </si>
  <si>
    <t>- en Belgique (hors Communauté française)</t>
  </si>
  <si>
    <t>7010/1</t>
  </si>
  <si>
    <t xml:space="preserve">- en Union européenne (hors Belgique) </t>
  </si>
  <si>
    <t>7010/2</t>
  </si>
  <si>
    <t>- hors Union européenne</t>
  </si>
  <si>
    <t>7010/3</t>
  </si>
  <si>
    <t>Spectacles &amp; manifestations d'art mécanisé</t>
  </si>
  <si>
    <t>Services culturels spécialisés : commissariat d'exposition</t>
  </si>
  <si>
    <t xml:space="preserve">animations, interventions culturelles </t>
  </si>
  <si>
    <t xml:space="preserve">Services de conférences, débats, séminaires &amp; formations </t>
  </si>
  <si>
    <t>Mises à disposition d'expositions temporaires</t>
  </si>
  <si>
    <t>Services de recherches, d'études &amp; de journalisme</t>
  </si>
  <si>
    <t>Services artistiques spécialisés : mise en scène, scénographie,…</t>
  </si>
  <si>
    <t>Autres services culturels que 7010 à 7016</t>
  </si>
  <si>
    <t xml:space="preserve">Produits des biens culturels </t>
  </si>
  <si>
    <t>de revues, catalogues, affiches, programmes, photos, …</t>
  </si>
  <si>
    <t>d'édition audio (vinyl, CD, streaming, digital, …)</t>
  </si>
  <si>
    <t>d'édition audiovisuelle (film, cassette vidéo, DVD, ...)</t>
  </si>
  <si>
    <t>d'édition multimédia (DVD, CD Rom, ...)</t>
  </si>
  <si>
    <t>Merchendising</t>
  </si>
  <si>
    <t xml:space="preserve">Produits des œuvres, mobiliers &amp; objets d'art originaux </t>
  </si>
  <si>
    <t xml:space="preserve">Produits des multiples d'œuvres, objets d'art &amp; objets culturels  </t>
  </si>
  <si>
    <t xml:space="preserve">Produits d'autres objets, reproductions d'art, marchandises,  </t>
  </si>
  <si>
    <t xml:space="preserve">éditions &amp; biens culturels acquis auprès de tiers </t>
  </si>
  <si>
    <t>Produits d'autres biens culturels que 7020 à 7027</t>
  </si>
  <si>
    <t xml:space="preserve">Coproductions </t>
  </si>
  <si>
    <t xml:space="preserve">Apports reçus en coproduction </t>
  </si>
  <si>
    <t>7030/1</t>
  </si>
  <si>
    <t>Apports partenaires hors FWB (détailler)</t>
  </si>
  <si>
    <t>7030/2</t>
  </si>
  <si>
    <t xml:space="preserve">Redistributions reçues dans le cadre de coproduction </t>
  </si>
  <si>
    <t>Reprise sur fonds propres (10/15) affectés en coproduction</t>
  </si>
  <si>
    <t>Reprise sur provision (16) pour engagement en coproduction</t>
  </si>
  <si>
    <t>Autres produits de coproduction que 7030 à 7031</t>
  </si>
  <si>
    <t xml:space="preserve">Services divers dans le cadre non-marchand  </t>
  </si>
  <si>
    <t>Produits de bars, foyers, buffets, cafétéria, boissons, petite restauration</t>
  </si>
  <si>
    <t>Produits des services d'accueils, ticketterie, salles &amp; vestiaires</t>
  </si>
  <si>
    <t xml:space="preserve">Produits d'espaces publicitaires &amp; sponsoring </t>
  </si>
  <si>
    <t>Production publicitaire &amp; mise à disposition d'espaces publicitaires</t>
  </si>
  <si>
    <t>multimédia y compris production publicitaire non dissociée</t>
  </si>
  <si>
    <t>7042/0</t>
  </si>
  <si>
    <t xml:space="preserve">Sponsoring &amp; parrainages d'entreprises </t>
  </si>
  <si>
    <t>7042/1</t>
  </si>
  <si>
    <t xml:space="preserve">Valeurs d'échanges promotionnels </t>
  </si>
  <si>
    <t>7042/2</t>
  </si>
  <si>
    <t>Autres produits que 70420 à 70422</t>
  </si>
  <si>
    <t>7042/8</t>
  </si>
  <si>
    <t>Produits non dissociés des espaces publicitaires &amp; informatifs</t>
  </si>
  <si>
    <t>7042/9</t>
  </si>
  <si>
    <t>Produits de mise à disposition d'infrastructures</t>
  </si>
  <si>
    <t>Produits de mise à disposition de mobiliers, machines</t>
  </si>
  <si>
    <t>&amp; matériels techniques, outillage &amp; matériel roulant</t>
  </si>
  <si>
    <t>Produits de mise à disposition de services techniques</t>
  </si>
  <si>
    <t xml:space="preserve">Produits de commissions sur ventes de biens </t>
  </si>
  <si>
    <t xml:space="preserve">&amp; services culturels effectuée pour compte de tiers  </t>
  </si>
  <si>
    <t xml:space="preserve">Produits de captations &amp; productions de programmes </t>
  </si>
  <si>
    <t>audiovisuels, télévisuels &amp; multimédia</t>
  </si>
  <si>
    <t>Produits d'autres services que 7040 à 7048</t>
  </si>
  <si>
    <t xml:space="preserve">Recettes des distributeurs </t>
  </si>
  <si>
    <t xml:space="preserve">Recettes perçues selon le décret auprès des intercommunales </t>
  </si>
  <si>
    <t xml:space="preserve">Recettes perçues à d'autres titres auprès des intercommunales </t>
  </si>
  <si>
    <t xml:space="preserve">Recettes perçues selon le décret auprès d'autres distributeurs </t>
  </si>
  <si>
    <t xml:space="preserve">Recettes perçues à d'autres titres auprès d'autres distributeurs </t>
  </si>
  <si>
    <t>Autres recettes, droits &amp; produits que 700 à 706</t>
  </si>
  <si>
    <t xml:space="preserve">Remises, ristournes &amp; rabais accordés (-) </t>
  </si>
  <si>
    <t>Variations des stocks &amp; des commandes en cours d'exécution</t>
  </si>
  <si>
    <t xml:space="preserve">Production immobilisée </t>
  </si>
  <si>
    <t xml:space="preserve">Cotisations, dons, legs &amp; subsides </t>
  </si>
  <si>
    <t xml:space="preserve">Cotisations des membres associés </t>
  </si>
  <si>
    <t>- versées par les membres associés</t>
  </si>
  <si>
    <t xml:space="preserve">- perçues par redistribution d'une association apparentée </t>
  </si>
  <si>
    <t xml:space="preserve">Cotisations des membres adhérents </t>
  </si>
  <si>
    <t xml:space="preserve">- versées par les membres adhérents </t>
  </si>
  <si>
    <t xml:space="preserve">Dons sans droit de reprise </t>
  </si>
  <si>
    <t>- reçus de personnes physiques &amp; immunisés sur le plan fiscal</t>
  </si>
  <si>
    <t>- reçus de personnes physiques &amp; non immunisés sur le plan fiscal</t>
  </si>
  <si>
    <t>- reçus par mécénat d'entreprise, d'associations &amp; fondations</t>
  </si>
  <si>
    <t>- Fondations</t>
  </si>
  <si>
    <t>7322/1</t>
  </si>
  <si>
    <t>- Tax Shelter</t>
  </si>
  <si>
    <t>7322/2</t>
  </si>
  <si>
    <t>- Loterie nationale (sponsoring)</t>
  </si>
  <si>
    <t>7322/3</t>
  </si>
  <si>
    <t>Dons avec droit de reprise</t>
  </si>
  <si>
    <t>- reçus de personnes physiques</t>
  </si>
  <si>
    <t>- reçus de personnes morales</t>
  </si>
  <si>
    <t xml:space="preserve">Legs sans droit de reprise </t>
  </si>
  <si>
    <t>Legs avec droit de reprise</t>
  </si>
  <si>
    <t>Subsides en capital &amp; intérêts</t>
  </si>
  <si>
    <t>Subsides en capital &amp; intérêts reçus en espèces</t>
  </si>
  <si>
    <t xml:space="preserve">- des villes, communes, intercommunales, communautés urbaines  </t>
  </si>
  <si>
    <t>7361/0</t>
  </si>
  <si>
    <t>- des provinces</t>
  </si>
  <si>
    <t>7361/1</t>
  </si>
  <si>
    <t xml:space="preserve">- de la Commission communautaire française - BXL </t>
  </si>
  <si>
    <t>7361/2</t>
  </si>
  <si>
    <t xml:space="preserve">- de la Région de Bruxelles Capitale </t>
  </si>
  <si>
    <t>7361/3</t>
  </si>
  <si>
    <t xml:space="preserve">- de la Région wallonne </t>
  </si>
  <si>
    <t>7361/4</t>
  </si>
  <si>
    <t xml:space="preserve">- de la Communauté française Wallonie-Bruxelles </t>
  </si>
  <si>
    <t>7361/5</t>
  </si>
  <si>
    <t xml:space="preserve">a. - CFWB pour l'infrastructure </t>
  </si>
  <si>
    <t>73615ANX1</t>
  </si>
  <si>
    <t xml:space="preserve">b. - CFWB pour l'équipement </t>
  </si>
  <si>
    <t>73615ANX2</t>
  </si>
  <si>
    <t>c. - CFWB autre subside en capital &amp; intérêts en espèces</t>
  </si>
  <si>
    <t>73615ANX3</t>
  </si>
  <si>
    <t>- de l'Etat fédéral</t>
  </si>
  <si>
    <t xml:space="preserve">- de l'Union européenne </t>
  </si>
  <si>
    <t>- d'autres opérateurs privés ou publics</t>
  </si>
  <si>
    <t>Subsides en capital reçus en nature</t>
  </si>
  <si>
    <t xml:space="preserve">- de la Communauté française </t>
  </si>
  <si>
    <t>73625ANX1</t>
  </si>
  <si>
    <t>73625ANX2</t>
  </si>
  <si>
    <t xml:space="preserve">c. - CFWB autres subsides en capital en nature </t>
  </si>
  <si>
    <t>73625ANX3</t>
  </si>
  <si>
    <t xml:space="preserve">- autres subsides en capital reçus en nature </t>
  </si>
  <si>
    <t>d'autres opérateurs privés ou publics</t>
  </si>
  <si>
    <t xml:space="preserve">Autres subsides &amp; subventions </t>
  </si>
  <si>
    <t>Autres subsides &amp; subventions des villes, communes, intercommunales</t>
  </si>
  <si>
    <t xml:space="preserve">&amp; communautés urbaines </t>
  </si>
  <si>
    <t>Autres subsides &amp; subventions des provinces</t>
  </si>
  <si>
    <t>Autres subsides &amp; subventions de la Commission communautaire</t>
  </si>
  <si>
    <t xml:space="preserve">française de Bruxelles </t>
  </si>
  <si>
    <t xml:space="preserve">Autres subisdes &amp; subventions de la Région de Bruxelles Capitale </t>
  </si>
  <si>
    <t>a. - BXL pour les politiques d'emploi</t>
  </si>
  <si>
    <t>7373ANX1</t>
  </si>
  <si>
    <t xml:space="preserve">b. - BXL pour les autres politiques </t>
  </si>
  <si>
    <t>7373ANX2</t>
  </si>
  <si>
    <t xml:space="preserve">Autres subsides &amp; subventions de la Région wallonne </t>
  </si>
  <si>
    <t xml:space="preserve">a. - RW pour les politiques d'emploi </t>
  </si>
  <si>
    <t>7374ANX1</t>
  </si>
  <si>
    <t xml:space="preserve">b. - RW pour les autres politiques </t>
  </si>
  <si>
    <t>7374ANX2</t>
  </si>
  <si>
    <t xml:space="preserve">Autres subsides &amp; subventions de la Communauté française </t>
  </si>
  <si>
    <t xml:space="preserve">Service des Arts de la Scène (préciser) </t>
  </si>
  <si>
    <t>7375/0</t>
  </si>
  <si>
    <t xml:space="preserve">Autres services de l'Administration générale de la Culture </t>
  </si>
  <si>
    <t>7375/1</t>
  </si>
  <si>
    <t>Autres subventions de la Communauté française (détailler)</t>
  </si>
  <si>
    <t>7375/2</t>
  </si>
  <si>
    <t>Wallonie Bruxelles International</t>
  </si>
  <si>
    <t>7375/3</t>
  </si>
  <si>
    <t>Loterie Nationale</t>
  </si>
  <si>
    <t>7375/4</t>
  </si>
  <si>
    <t xml:space="preserve">CFWB - Décret emploi non-marchand </t>
  </si>
  <si>
    <t>7375/5</t>
  </si>
  <si>
    <t>CFWB - Autres subsides et subventions</t>
  </si>
  <si>
    <t>7375/6</t>
  </si>
  <si>
    <t>Autres subsides &amp; subventions de l'Etat fédéral (à détailler)</t>
  </si>
  <si>
    <t xml:space="preserve">Autres subsides &amp; interventions du Fonds Maribel </t>
  </si>
  <si>
    <t xml:space="preserve">Autres subsides &amp; subventions de l'Union européenne </t>
  </si>
  <si>
    <t>Autres subsides &amp; subventions d'autres opérateurs privés ou publics</t>
  </si>
  <si>
    <t xml:space="preserve">Autres produits d'exploitation </t>
  </si>
  <si>
    <t xml:space="preserve">Plus-values sur réalisations d'immobilisations corporelles </t>
  </si>
  <si>
    <t xml:space="preserve">Plus-values sur réalisations de créances commerciales </t>
  </si>
  <si>
    <t xml:space="preserve">Produits de refacturations de charges </t>
  </si>
  <si>
    <t xml:space="preserve">Recettes de redistributions </t>
  </si>
  <si>
    <t>Redistributions d'une association apparentée</t>
  </si>
  <si>
    <t>- de niveau international</t>
  </si>
  <si>
    <t xml:space="preserve">- de niveau national ou communautaire </t>
  </si>
  <si>
    <t xml:space="preserve">- de niveau régional </t>
  </si>
  <si>
    <t xml:space="preserve">- de niveau local </t>
  </si>
  <si>
    <t>- d'autres associations apparentées</t>
  </si>
  <si>
    <t>Autres redistributions d'autres opérateurs que 7442</t>
  </si>
  <si>
    <t>Autres produits d'exploitation que 740 à 744</t>
  </si>
  <si>
    <t xml:space="preserve">Produits financiers </t>
  </si>
  <si>
    <t xml:space="preserve">Produits exceptionnels </t>
  </si>
  <si>
    <t>Total des produits</t>
  </si>
  <si>
    <t>70/76</t>
  </si>
  <si>
    <t>Résultat prévisionnel</t>
  </si>
  <si>
    <t>Total produits - Total charges</t>
  </si>
  <si>
    <t>Calcul des ratios (subventionnement et recettes propres)</t>
  </si>
  <si>
    <r>
      <t>Total des subventions</t>
    </r>
    <r>
      <rPr>
        <sz val="12"/>
        <rFont val="Arial"/>
        <family val="2"/>
      </rPr>
      <t xml:space="preserve"> (736+737)</t>
    </r>
  </si>
  <si>
    <t xml:space="preserve">     Taux de subventionnement / Tot des produits</t>
  </si>
  <si>
    <t>Recettes propres</t>
  </si>
  <si>
    <t xml:space="preserve">     Ratio de recettes propres / Tot des produits</t>
  </si>
  <si>
    <t>Métiers</t>
  </si>
  <si>
    <t>Structure</t>
  </si>
  <si>
    <t>Calendrier</t>
  </si>
  <si>
    <t xml:space="preserve">ESTIMATION COUT SALARIAL APE - ANNEE 2023 </t>
  </si>
  <si>
    <t xml:space="preserve">INDEXATION DE 2 % prevue au 01ER DECEMBRE 2022 </t>
  </si>
  <si>
    <t xml:space="preserve">AVEC </t>
  </si>
  <si>
    <t>PREVISIONS</t>
  </si>
  <si>
    <t>TRAVAILLEUR</t>
  </si>
  <si>
    <t xml:space="preserve">entree le </t>
  </si>
  <si>
    <t>H/SEM</t>
  </si>
  <si>
    <t>BRUT/MOIS</t>
  </si>
  <si>
    <t>BRUT/AN</t>
  </si>
  <si>
    <t>PEC VAC (*)</t>
  </si>
  <si>
    <t>PFA</t>
  </si>
  <si>
    <t>ONSS PATR</t>
  </si>
  <si>
    <t>DEPLAC</t>
  </si>
  <si>
    <t xml:space="preserve">TOTAL/AN </t>
  </si>
  <si>
    <t>INDEXATIONS</t>
  </si>
  <si>
    <t>LOUYEST JEAN</t>
  </si>
  <si>
    <t>01.01.2016</t>
  </si>
  <si>
    <t>ZABUS VINCENT</t>
  </si>
  <si>
    <t>01.03.2020</t>
  </si>
  <si>
    <t>STASSER MAËLLE</t>
  </si>
  <si>
    <t>05.07.2021</t>
  </si>
  <si>
    <t xml:space="preserve">MI TEMPS </t>
  </si>
  <si>
    <t>BASE MAELLE</t>
  </si>
  <si>
    <t>(*)</t>
  </si>
  <si>
    <t xml:space="preserve">pécule de vacances pour  mi-temps sup ne sera pas dû entièrement la première année </t>
  </si>
  <si>
    <t>Encadrement du projet</t>
  </si>
  <si>
    <t>ETAPES DE CREATION</t>
  </si>
  <si>
    <t>TOTAL cumulé</t>
  </si>
  <si>
    <t>REMUNERATION</t>
  </si>
  <si>
    <t>TOTAL RECETTES :</t>
  </si>
  <si>
    <t>SOLDE ANNUEL :</t>
  </si>
  <si>
    <t>SOLDE CUMULE :</t>
  </si>
  <si>
    <t>VENTES REPRESENTATIONS</t>
  </si>
  <si>
    <t>RW APE</t>
  </si>
  <si>
    <t>La Trace</t>
  </si>
  <si>
    <t>Michel, deux fois.</t>
  </si>
  <si>
    <t>nouvelles recrues (comédiens)</t>
  </si>
  <si>
    <t>STOP JUMPER</t>
  </si>
  <si>
    <t>Direction artistique</t>
  </si>
  <si>
    <t>Direction administrative</t>
  </si>
  <si>
    <t>Coordination générale</t>
  </si>
  <si>
    <t>Artistique (représentations)</t>
  </si>
  <si>
    <t>Artistique (création GIEC)</t>
  </si>
  <si>
    <t>Véhicules, transport</t>
  </si>
  <si>
    <t>Bureau, locaux</t>
  </si>
  <si>
    <t>Administration</t>
  </si>
  <si>
    <t>Relations extérieures, catering, hébergement</t>
  </si>
  <si>
    <t>Spectacle</t>
  </si>
  <si>
    <t>Nombre de ventes</t>
  </si>
  <si>
    <t xml:space="preserve">Montant 
 ventes </t>
  </si>
  <si>
    <t>Consos</t>
  </si>
  <si>
    <t>Coût salarial</t>
  </si>
  <si>
    <t>Boniment</t>
  </si>
  <si>
    <t>La Clinique du Bonheur</t>
  </si>
  <si>
    <t>L'Eveil (La Trace)</t>
  </si>
  <si>
    <t>Les Faux Journalistes</t>
  </si>
  <si>
    <t>Les Guides</t>
  </si>
  <si>
    <t>Les Lecteurs Publics</t>
  </si>
  <si>
    <t>Le Livre Passe-Têtes</t>
  </si>
  <si>
    <t>Les Marchands de gros Mots</t>
  </si>
  <si>
    <t>L'Odyssée pour les Nuls</t>
  </si>
  <si>
    <t>One shot</t>
  </si>
  <si>
    <t>Otto l'Accessoiriste</t>
  </si>
  <si>
    <t>Les Ouvreurs de Portes</t>
  </si>
  <si>
    <t>La Pêche aux Histoires</t>
  </si>
  <si>
    <t>Les Petits Métiers Oubliés</t>
  </si>
  <si>
    <t>TOTAUX</t>
  </si>
  <si>
    <t>Projections 2024</t>
  </si>
  <si>
    <t>Projections 2025</t>
  </si>
  <si>
    <t>Le GIEC</t>
  </si>
  <si>
    <t>130/42,4</t>
  </si>
  <si>
    <t>nombre de comédiens</t>
  </si>
  <si>
    <t>Bénéfice</t>
  </si>
  <si>
    <t>Bilan vente spectacles 2022</t>
  </si>
  <si>
    <t>Bilan vente spectacles 2021</t>
  </si>
  <si>
    <t>Montant des ventes</t>
  </si>
  <si>
    <t>Salaires</t>
  </si>
  <si>
    <t>Conso-mables</t>
  </si>
  <si>
    <t>L'Eveil</t>
  </si>
  <si>
    <t>Les Marchands 
de gros Mots</t>
  </si>
  <si>
    <t>Nombre de représen-tations</t>
  </si>
  <si>
    <t>fin 2022</t>
  </si>
  <si>
    <t>Les Lecteurs Publics (light)</t>
  </si>
  <si>
    <t>160/42,4</t>
  </si>
  <si>
    <t>180/42,4</t>
  </si>
  <si>
    <t>Frais non récupérés (consomables repr.)</t>
  </si>
  <si>
    <t>mi-temps supplémentaire diffusion</t>
  </si>
  <si>
    <t>Le Livre Passe-Têtes (nouveau)</t>
  </si>
  <si>
    <t>Artistique (création Métiers d'avenir)</t>
  </si>
  <si>
    <t>Coprod Métiers d'avenir</t>
  </si>
  <si>
    <t>Coprod GIEC</t>
  </si>
  <si>
    <t>barème 2022</t>
  </si>
  <si>
    <t>Bilan vente spectacles 2020</t>
  </si>
  <si>
    <t>Fréquen-tation 2021</t>
  </si>
  <si>
    <t>Bilan vente spectacles 2019</t>
  </si>
  <si>
    <t>Projections 2023</t>
  </si>
  <si>
    <t>Nbre de 
jours</t>
  </si>
  <si>
    <t>barème 2023</t>
  </si>
  <si>
    <t>140/42,4</t>
  </si>
  <si>
    <t>170/42,4</t>
  </si>
  <si>
    <t>190/42,4</t>
  </si>
  <si>
    <t>150/45</t>
  </si>
  <si>
    <t>180/45</t>
  </si>
  <si>
    <t>200/45</t>
  </si>
  <si>
    <t>  C.P. n° 304.00.00-00.00 Spectacle Adaptation suite à : Indexation : 2 % Validité : depuis le 01/09/2022 Source: www.groups.be Mise à jour : 30/08/2022 C. Spectacles d'art dramatique d'expression scénique en Région wallonne et en Région de Bruxelles-Capitale Entreprises subventionnées et non subventionnées Régime hebdomadaire : 38h Catégorie salaire min. </t>
  </si>
  <si>
    <t>1a : Groupe 1a 2.539,53 Artistes de spectacle - 12 ans</t>
  </si>
  <si>
    <t>1b : Groupe 1b 2.998,16 Artistes de spectacle + 12 ans</t>
  </si>
  <si>
    <t>2a : Groupe 2a 2.402,38 Fonctions technico-artistiques / Techniciens et administratifs avec responsabilités finales</t>
  </si>
  <si>
    <t>2b : Groupe 2b 2.539,67 </t>
  </si>
  <si>
    <t>3a : Groupe 3a 2.265,11 Fonctions connexes à la création artistique / Techniciens et administratifs avec responsabilités non finales</t>
  </si>
  <si>
    <t>3b : Groupe 3b 2.402,38 </t>
  </si>
  <si>
    <t>4 : Groupe 4 2.127,83 Fonctions non-artistiques / Techniciens des ateliers et administratifs occupés à des tâches d’exécution</t>
  </si>
  <si>
    <t>5 : Groupe 5 1.990,56 Personnel occupé à des tâches d’assistance logistique</t>
  </si>
  <si>
    <t>6 : Groupe 6 1.853,27  Figurants et autre personnel occupé à des tâches d’accueil</t>
  </si>
  <si>
    <t xml:space="preserve">prix unitaires 2022 </t>
  </si>
  <si>
    <t>22 histoires</t>
  </si>
  <si>
    <t>Nombre de ventes (j)</t>
  </si>
  <si>
    <t>barème 2024/2025</t>
  </si>
  <si>
    <t>Artistique (création 22 histoires)</t>
  </si>
  <si>
    <t>Décors, accessoires, etc (22 histoires)</t>
  </si>
  <si>
    <t>Décors, accessoires,etc (GIEC)</t>
  </si>
  <si>
    <t>Décors, accessoires, etc (Métiers)</t>
  </si>
  <si>
    <t xml:space="preserve">Amortissement nouveau véhicule </t>
  </si>
  <si>
    <t>Coprod 22 histoires</t>
  </si>
  <si>
    <t>Ventes représentations</t>
  </si>
  <si>
    <t>Location de gradins</t>
  </si>
  <si>
    <t>Cotisations</t>
  </si>
  <si>
    <t>Artistique (re- création Passe-Têtes)</t>
  </si>
  <si>
    <t>Artistique (Ouvreurs de Portes)</t>
  </si>
  <si>
    <t>Décors, accessoires, etc (New Passe-Têtes)</t>
  </si>
  <si>
    <t>FWB Aide au développement</t>
  </si>
  <si>
    <t>COPRODUCTIONS - PARTENARIATS</t>
  </si>
  <si>
    <t>TOTAL DEPENSES (rappel) :</t>
  </si>
  <si>
    <t>FWB Contrat de création</t>
  </si>
  <si>
    <t>FWB Aide à la création La Trace</t>
  </si>
  <si>
    <t>Décors, accessoires, etc La Trace)</t>
  </si>
  <si>
    <t>Report solde La Trace</t>
  </si>
  <si>
    <t>Artistique (création La Trace)</t>
  </si>
  <si>
    <t>Auteur</t>
  </si>
  <si>
    <t>Régisseur</t>
  </si>
  <si>
    <t>Les Métiers</t>
  </si>
  <si>
    <t>Coproductions</t>
  </si>
  <si>
    <t>Subventions</t>
  </si>
  <si>
    <t>Infrastructure</t>
  </si>
  <si>
    <t>Activité</t>
  </si>
  <si>
    <t>Sal. Rel. Publ.</t>
  </si>
  <si>
    <t>Sal. Activité</t>
  </si>
  <si>
    <t>Sal. Fonct.</t>
  </si>
  <si>
    <t>Sal. Artistique</t>
  </si>
  <si>
    <t>Sal. Art. techn.</t>
  </si>
  <si>
    <t>check</t>
  </si>
  <si>
    <t>Fonctionnment</t>
  </si>
  <si>
    <t>Produits</t>
  </si>
  <si>
    <t>Charges</t>
  </si>
  <si>
    <t>Répartition des charges</t>
  </si>
  <si>
    <t>Impressions pour promotion, publicité &amp; relations publiques (matériel et immatériel)</t>
  </si>
  <si>
    <t>Artiste interprète (représentations)</t>
  </si>
  <si>
    <t>Production (à détailler)</t>
  </si>
  <si>
    <t>Communication / diffusion (à détailler)</t>
  </si>
  <si>
    <t>Coproduction</t>
  </si>
  <si>
    <t>La Compagnie des Bonimenteurs</t>
  </si>
  <si>
    <t>Fonctionnement</t>
  </si>
  <si>
    <t>Créations</t>
  </si>
  <si>
    <t>BUDGET  PREVISIONNEL 
(contrats-programmes et contrats de création/service/diffusion)</t>
  </si>
  <si>
    <t>Scénographe</t>
  </si>
  <si>
    <t>Ingéson</t>
  </si>
  <si>
    <t>Diffusion/communication/missions prod</t>
  </si>
  <si>
    <t>Subvention FWB</t>
  </si>
  <si>
    <t>Subvention RW</t>
  </si>
  <si>
    <t>2024-2028</t>
  </si>
  <si>
    <t>pour travail de production</t>
  </si>
  <si>
    <t>*</t>
  </si>
  <si>
    <t>Structure / fonctionnement</t>
  </si>
  <si>
    <t>Représentations</t>
  </si>
  <si>
    <t>Rel. Publ.</t>
  </si>
  <si>
    <t>Frais</t>
  </si>
  <si>
    <t>Les Petits Métiers</t>
  </si>
  <si>
    <t>Le Giec pour les Nuls</t>
  </si>
  <si>
    <t>Salaires Art.</t>
  </si>
  <si>
    <t>Transport</t>
  </si>
  <si>
    <t>Artistique (création Petits Métiers</t>
  </si>
  <si>
    <t>Artistique (création Coin de ma Rue)</t>
  </si>
  <si>
    <t>Le Coin de ma Rue</t>
  </si>
  <si>
    <t>Scénographe (Les Petits Métiers)</t>
  </si>
  <si>
    <t>Scénographe (Le Rapport du GIEC pour les Nuls)</t>
  </si>
  <si>
    <t>Metteur en scène  (création Le Rapport du GIEC pour les Nuls)</t>
  </si>
  <si>
    <t>Achats, locations &amp; entretiens spécifiques des décors (Le Rapport du GIEC pour les Nuls)</t>
  </si>
  <si>
    <t>Droits d'auteurs attribués en vue de la création d'une œuvre (Le Rapport du GIEC pour les Nuls)</t>
  </si>
  <si>
    <t>Auteur dramaturge (Le Rapport du GIEC pour les Nuls)</t>
  </si>
  <si>
    <t>Comédien (création Le Rapport du GIEC pour les Nuls)</t>
  </si>
  <si>
    <t>Droits d'auteurs attribués en vue de la création d'une œuvre (Les Petits Métiers)</t>
  </si>
  <si>
    <t>Comédien (création Les Petits Métiers)</t>
  </si>
  <si>
    <t>Metteur en scène  (création Les Petits Métiers)</t>
  </si>
  <si>
    <t>Rétribution de tiers &amp; prestations artistiques (costumière Les Petits Métiers)</t>
  </si>
  <si>
    <t>Auteur dramaturge (Les Petits Métiers)</t>
  </si>
  <si>
    <t>Achats, locations &amp; entretiens spécifiques des décors (Les Petits Métiers)</t>
  </si>
  <si>
    <t>Apports partenaires FWB (Les Petits Métiers)</t>
  </si>
  <si>
    <t>Apports partenaires FWB (Le Rapport du GIEC pour les Nuls)</t>
  </si>
  <si>
    <t>Lecteurs Publics &amp;</t>
  </si>
  <si>
    <t>classiques de la Cie</t>
  </si>
  <si>
    <t>Le GIEC…</t>
  </si>
  <si>
    <t>pour relations publique et promotion (diffusion, communication, production déléguée)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</si>
</sst>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quot; €&quot;"/>
    <numFmt numFmtId="165" formatCode="[&lt;0]&quot;-&quot;* #,##0.00&quot; € &quot;;[=0]&quot; &quot;* &quot;-&quot;??&quot; € &quot;;&quot; &quot;* #,##0.00&quot; € &quot;"/>
    <numFmt numFmtId="166" formatCode="#,##0.00\ &quot;€&quot;"/>
    <numFmt numFmtId="167" formatCode="0.0"/>
    <numFmt numFmtId="168" formatCode="[&lt;0]&quot;-&quot;#,##0[$€-2];#,##0[$€-2]"/>
  </numFmts>
  <fonts count="82">
    <font>
      <sz val="10"/>
      <color indexed="8"/>
      <name val="Helvetica"/>
    </font>
    <font>
      <sz val="11"/>
      <color theme="1"/>
      <name val="Helvetica Neue"/>
      <family val="2"/>
      <scheme val="minor"/>
    </font>
    <font>
      <sz val="11"/>
      <color theme="1"/>
      <name val="Helvetica Neue"/>
      <family val="2"/>
      <scheme val="minor"/>
    </font>
    <font>
      <sz val="10"/>
      <color indexed="8"/>
      <name val="Helvetica"/>
    </font>
    <font>
      <sz val="10"/>
      <color indexed="8"/>
      <name val="Helvetica"/>
      <family val="2"/>
    </font>
    <font>
      <sz val="9"/>
      <color indexed="81"/>
      <name val="Tahoma"/>
      <family val="2"/>
    </font>
    <font>
      <b/>
      <sz val="9"/>
      <color indexed="81"/>
      <name val="Tahoma"/>
      <family val="2"/>
    </font>
    <font>
      <b/>
      <sz val="8"/>
      <color indexed="8"/>
      <name val="Tahoma"/>
      <family val="2"/>
    </font>
    <font>
      <sz val="11"/>
      <color theme="1"/>
      <name val="Calibri"/>
      <family val="2"/>
    </font>
    <font>
      <b/>
      <sz val="10"/>
      <name val="Calibri"/>
      <family val="2"/>
    </font>
    <font>
      <b/>
      <sz val="11"/>
      <color theme="1"/>
      <name val="Calibri"/>
      <family val="2"/>
    </font>
    <font>
      <sz val="10"/>
      <color indexed="8"/>
      <name val="Calibri"/>
      <family val="2"/>
    </font>
    <font>
      <sz val="10"/>
      <name val="Calibri"/>
      <family val="2"/>
    </font>
    <font>
      <sz val="10"/>
      <color indexed="8"/>
      <name val="Helvetica Neue"/>
      <scheme val="major"/>
    </font>
    <font>
      <b/>
      <sz val="14"/>
      <color indexed="8"/>
      <name val="Helvetica Neue"/>
      <scheme val="major"/>
    </font>
    <font>
      <u/>
      <sz val="11"/>
      <color indexed="8"/>
      <name val="Helvetica Neue"/>
      <scheme val="major"/>
    </font>
    <font>
      <b/>
      <sz val="13"/>
      <color indexed="8"/>
      <name val="Helvetica Neue"/>
      <scheme val="major"/>
    </font>
    <font>
      <sz val="11"/>
      <color indexed="8"/>
      <name val="Helvetica Neue"/>
      <scheme val="major"/>
    </font>
    <font>
      <b/>
      <sz val="12"/>
      <color indexed="8"/>
      <name val="Helvetica Neue"/>
      <scheme val="major"/>
    </font>
    <font>
      <sz val="8"/>
      <color indexed="8"/>
      <name val="Helvetica Neue"/>
      <scheme val="major"/>
    </font>
    <font>
      <sz val="11"/>
      <name val="Helvetica Neue"/>
      <scheme val="major"/>
    </font>
    <font>
      <b/>
      <sz val="11"/>
      <color indexed="8"/>
      <name val="Helvetica Neue"/>
      <scheme val="major"/>
    </font>
    <font>
      <b/>
      <sz val="13"/>
      <name val="Helvetica Neue"/>
      <scheme val="major"/>
    </font>
    <font>
      <b/>
      <sz val="16"/>
      <name val="Helvetica Neue"/>
      <scheme val="major"/>
    </font>
    <font>
      <b/>
      <sz val="11"/>
      <color indexed="12"/>
      <name val="Helvetica Neue"/>
      <scheme val="major"/>
    </font>
    <font>
      <b/>
      <sz val="16"/>
      <color rgb="FF0070C0"/>
      <name val="Helvetica Neue"/>
      <scheme val="major"/>
    </font>
    <font>
      <sz val="12"/>
      <color indexed="8"/>
      <name val="Helvetica Neue"/>
      <scheme val="major"/>
    </font>
    <font>
      <sz val="10"/>
      <color rgb="FFFF0000"/>
      <name val="Helvetica Neue"/>
      <scheme val="major"/>
    </font>
    <font>
      <b/>
      <sz val="10"/>
      <color indexed="8"/>
      <name val="Helvetica Neue"/>
      <scheme val="major"/>
    </font>
    <font>
      <b/>
      <sz val="14"/>
      <color indexed="8"/>
      <name val="Helvetica Neue"/>
      <scheme val="minor"/>
    </font>
    <font>
      <sz val="10"/>
      <color indexed="8"/>
      <name val="Helvetica Neue"/>
      <scheme val="minor"/>
    </font>
    <font>
      <sz val="11"/>
      <color indexed="8"/>
      <name val="Helvetica Neue"/>
      <scheme val="minor"/>
    </font>
    <font>
      <b/>
      <sz val="13"/>
      <color indexed="8"/>
      <name val="Helvetica Neue"/>
      <scheme val="minor"/>
    </font>
    <font>
      <b/>
      <sz val="12"/>
      <color indexed="8"/>
      <name val="Helvetica Neue"/>
      <scheme val="minor"/>
    </font>
    <font>
      <b/>
      <sz val="11"/>
      <color indexed="8"/>
      <name val="Helvetica Neue"/>
      <scheme val="minor"/>
    </font>
    <font>
      <sz val="11"/>
      <color indexed="26"/>
      <name val="Helvetica Neue"/>
      <scheme val="minor"/>
    </font>
    <font>
      <b/>
      <sz val="15"/>
      <color indexed="8"/>
      <name val="Helvetica Neue"/>
      <scheme val="minor"/>
    </font>
    <font>
      <sz val="10"/>
      <name val="Arial"/>
    </font>
    <font>
      <sz val="14"/>
      <name val="Arial"/>
      <family val="2"/>
    </font>
    <font>
      <sz val="12"/>
      <name val="Arial"/>
      <family val="2"/>
    </font>
    <font>
      <sz val="11"/>
      <name val="Arial"/>
      <family val="2"/>
    </font>
    <font>
      <u/>
      <sz val="10"/>
      <color theme="10"/>
      <name val="Arial"/>
      <family val="2"/>
    </font>
    <font>
      <b/>
      <sz val="12"/>
      <name val="Arial"/>
      <family val="2"/>
    </font>
    <font>
      <sz val="12"/>
      <color rgb="FFFF0000"/>
      <name val="Arial"/>
      <family val="2"/>
    </font>
    <font>
      <b/>
      <sz val="14"/>
      <name val="Arial"/>
      <family val="2"/>
    </font>
    <font>
      <b/>
      <sz val="10"/>
      <name val="Arial"/>
      <family val="2"/>
    </font>
    <font>
      <sz val="10"/>
      <name val="Arial"/>
      <family val="2"/>
    </font>
    <font>
      <b/>
      <sz val="11"/>
      <name val="Arial"/>
      <family val="2"/>
    </font>
    <font>
      <b/>
      <u/>
      <sz val="14"/>
      <name val="Arial"/>
      <family val="2"/>
    </font>
    <font>
      <u/>
      <sz val="14"/>
      <name val="Arial"/>
      <family val="2"/>
    </font>
    <font>
      <b/>
      <sz val="16"/>
      <name val="Arial"/>
      <family val="2"/>
    </font>
    <font>
      <sz val="16"/>
      <name val="Arial"/>
      <family val="2"/>
    </font>
    <font>
      <sz val="10"/>
      <color rgb="FFFF0000"/>
      <name val="Arial"/>
      <family val="2"/>
    </font>
    <font>
      <sz val="11"/>
      <color rgb="FFFF0000"/>
      <name val="Arial"/>
      <family val="2"/>
    </font>
    <font>
      <strike/>
      <sz val="12"/>
      <color rgb="FFFF0000"/>
      <name val="Arial"/>
      <family val="2"/>
    </font>
    <font>
      <sz val="10"/>
      <color rgb="FF00B050"/>
      <name val="Arial"/>
      <family val="2"/>
    </font>
    <font>
      <sz val="10"/>
      <color rgb="FF0000FF"/>
      <name val="Arial"/>
      <family val="2"/>
    </font>
    <font>
      <b/>
      <sz val="14"/>
      <color rgb="FF0000FF"/>
      <name val="Arial"/>
      <family val="2"/>
    </font>
    <font>
      <sz val="11"/>
      <color rgb="FF0000FF"/>
      <name val="Arial"/>
      <family val="2"/>
    </font>
    <font>
      <b/>
      <sz val="12"/>
      <color rgb="FFFF0000"/>
      <name val="Arial"/>
      <family val="2"/>
    </font>
    <font>
      <b/>
      <sz val="12"/>
      <color rgb="FF0070C0"/>
      <name val="Arial"/>
      <family val="2"/>
    </font>
    <font>
      <b/>
      <u/>
      <sz val="12"/>
      <name val="Arial"/>
      <family val="2"/>
    </font>
    <font>
      <b/>
      <u/>
      <sz val="12"/>
      <color rgb="FFFF0000"/>
      <name val="Arial"/>
      <family val="2"/>
    </font>
    <font>
      <b/>
      <sz val="12"/>
      <color rgb="FF33CC33"/>
      <name val="Arial"/>
      <family val="2"/>
    </font>
    <font>
      <b/>
      <sz val="12"/>
      <color rgb="FF00B050"/>
      <name val="Arial"/>
      <family val="2"/>
    </font>
    <font>
      <u/>
      <sz val="10"/>
      <name val="Arial"/>
      <family val="2"/>
    </font>
    <font>
      <u/>
      <sz val="11"/>
      <color theme="1"/>
      <name val="Helvetica Neue"/>
      <family val="2"/>
      <scheme val="minor"/>
    </font>
    <font>
      <sz val="9"/>
      <color rgb="FF000000"/>
      <name val="Segoe UI"/>
      <family val="2"/>
    </font>
    <font>
      <sz val="10"/>
      <name val="Helvetica"/>
    </font>
    <font>
      <b/>
      <sz val="12"/>
      <color rgb="FF000000"/>
      <name val="Helvetica"/>
    </font>
    <font>
      <sz val="10"/>
      <color rgb="FF000000"/>
      <name val="Helvetica"/>
    </font>
    <font>
      <b/>
      <sz val="10"/>
      <color rgb="FF000000"/>
      <name val="Helvetica"/>
    </font>
    <font>
      <sz val="12"/>
      <color rgb="FF000000"/>
      <name val="Helvetica"/>
    </font>
    <font>
      <sz val="8"/>
      <name val="Helvetica"/>
    </font>
    <font>
      <b/>
      <sz val="11"/>
      <color rgb="FF000000"/>
      <name val="Calibri"/>
      <family val="2"/>
    </font>
    <font>
      <sz val="11"/>
      <color rgb="FF000000"/>
      <name val="Calibri"/>
      <family val="2"/>
    </font>
    <font>
      <strike/>
      <sz val="11"/>
      <color theme="1"/>
      <name val="Calibri"/>
      <family val="2"/>
    </font>
    <font>
      <sz val="10"/>
      <color theme="1" tint="0.499984740745262"/>
      <name val="Helvetica"/>
    </font>
    <font>
      <b/>
      <sz val="12"/>
      <color theme="1" tint="0.499984740745262"/>
      <name val="Helvetica"/>
    </font>
    <font>
      <b/>
      <sz val="10"/>
      <color theme="1" tint="0.499984740745262"/>
      <name val="Helvetica"/>
    </font>
    <font>
      <b/>
      <sz val="10"/>
      <color indexed="8"/>
      <name val="Helvetica"/>
    </font>
    <font>
      <b/>
      <sz val="10"/>
      <name val="Helvetica"/>
    </font>
  </fonts>
  <fills count="32">
    <fill>
      <patternFill patternType="none"/>
    </fill>
    <fill>
      <patternFill patternType="gray125"/>
    </fill>
    <fill>
      <patternFill patternType="solid">
        <fgColor indexed="15"/>
        <bgColor auto="1"/>
      </patternFill>
    </fill>
    <fill>
      <patternFill patternType="solid">
        <fgColor indexed="16"/>
        <bgColor auto="1"/>
      </patternFill>
    </fill>
    <fill>
      <patternFill patternType="solid">
        <fgColor indexed="18"/>
        <bgColor auto="1"/>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7" tint="0.79998168889431442"/>
        <bgColor indexed="27"/>
      </patternFill>
    </fill>
    <fill>
      <patternFill patternType="solid">
        <fgColor indexed="42"/>
        <bgColor indexed="27"/>
      </patternFill>
    </fill>
    <fill>
      <patternFill patternType="solid">
        <fgColor indexed="27"/>
        <bgColor indexed="41"/>
      </patternFill>
    </fill>
    <fill>
      <patternFill patternType="solid">
        <fgColor rgb="FFFFFF00"/>
        <bgColor indexed="27"/>
      </patternFill>
    </fill>
    <fill>
      <patternFill patternType="solid">
        <fgColor theme="5" tint="0.39997558519241921"/>
        <bgColor indexed="64"/>
      </patternFill>
    </fill>
    <fill>
      <patternFill patternType="solid">
        <fgColor theme="0" tint="-0.14999847407452621"/>
        <bgColor indexed="64"/>
      </patternFill>
    </fill>
    <fill>
      <patternFill patternType="solid">
        <fgColor theme="2" tint="0.79998168889431442"/>
        <bgColor indexed="64"/>
      </patternFill>
    </fill>
    <fill>
      <patternFill patternType="solid">
        <fgColor theme="0" tint="-4.9989318521683403E-2"/>
        <bgColor indexed="64"/>
      </patternFill>
    </fill>
    <fill>
      <patternFill patternType="solid">
        <fgColor rgb="FFFFE699"/>
        <bgColor rgb="FF000000"/>
      </patternFill>
    </fill>
    <fill>
      <patternFill patternType="solid">
        <fgColor theme="9" tint="0.79998168889431442"/>
        <bgColor rgb="FF000000"/>
      </patternFill>
    </fill>
    <fill>
      <patternFill patternType="solid">
        <fgColor rgb="FFFFFFCC"/>
        <bgColor indexed="64"/>
      </patternFill>
    </fill>
    <fill>
      <patternFill patternType="solid">
        <fgColor rgb="FFBDD7EE"/>
        <bgColor rgb="FF000000"/>
      </patternFill>
    </fill>
    <fill>
      <patternFill patternType="solid">
        <fgColor theme="6"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6" tint="0.39997558519241921"/>
        <bgColor indexed="64"/>
      </patternFill>
    </fill>
  </fills>
  <borders count="290">
    <border>
      <left/>
      <right/>
      <top/>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bottom/>
      <diagonal/>
    </border>
    <border>
      <left/>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thin">
        <color indexed="8"/>
      </left>
      <right/>
      <top style="medium">
        <color indexed="64"/>
      </top>
      <bottom style="medium">
        <color indexed="64"/>
      </bottom>
      <diagonal/>
    </border>
    <border>
      <left/>
      <right style="medium">
        <color indexed="8"/>
      </right>
      <top style="medium">
        <color indexed="64"/>
      </top>
      <bottom style="medium">
        <color indexed="64"/>
      </bottom>
      <diagonal/>
    </border>
    <border>
      <left/>
      <right/>
      <top style="medium">
        <color indexed="8"/>
      </top>
      <bottom style="medium">
        <color indexed="8"/>
      </bottom>
      <diagonal/>
    </border>
    <border>
      <left/>
      <right/>
      <top/>
      <bottom style="medium">
        <color indexed="64"/>
      </bottom>
      <diagonal/>
    </border>
    <border>
      <left/>
      <right/>
      <top style="medium">
        <color indexed="8"/>
      </top>
      <bottom style="medium">
        <color indexed="64"/>
      </bottom>
      <diagonal/>
    </border>
    <border>
      <left/>
      <right style="medium">
        <color indexed="8"/>
      </right>
      <top style="medium">
        <color indexed="8"/>
      </top>
      <bottom/>
      <diagonal/>
    </border>
    <border>
      <left/>
      <right style="thin">
        <color indexed="8"/>
      </right>
      <top style="medium">
        <color indexed="8"/>
      </top>
      <bottom style="medium">
        <color indexed="8"/>
      </bottom>
      <diagonal/>
    </border>
    <border>
      <left/>
      <right/>
      <top style="medium">
        <color indexed="64"/>
      </top>
      <bottom/>
      <diagonal/>
    </border>
    <border>
      <left/>
      <right style="thin">
        <color indexed="8"/>
      </right>
      <top style="medium">
        <color indexed="8"/>
      </top>
      <bottom style="thin">
        <color indexed="8"/>
      </bottom>
      <diagonal/>
    </border>
    <border>
      <left style="medium">
        <color indexed="8"/>
      </left>
      <right/>
      <top style="medium">
        <color indexed="8"/>
      </top>
      <bottom/>
      <diagonal/>
    </border>
    <border>
      <left style="thin">
        <color indexed="8"/>
      </left>
      <right/>
      <top style="medium">
        <color indexed="8"/>
      </top>
      <bottom style="thin">
        <color indexed="8"/>
      </bottom>
      <diagonal/>
    </border>
    <border>
      <left style="medium">
        <color indexed="64"/>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right style="medium">
        <color indexed="64"/>
      </right>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64"/>
      </top>
      <bottom/>
      <diagonal/>
    </border>
    <border>
      <left/>
      <right style="medium">
        <color indexed="8"/>
      </right>
      <top/>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auto="1"/>
      </left>
      <right style="thin">
        <color auto="1"/>
      </right>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top/>
      <bottom style="medium">
        <color indexed="8"/>
      </bottom>
      <diagonal/>
    </border>
    <border>
      <left style="medium">
        <color indexed="64"/>
      </left>
      <right/>
      <top style="medium">
        <color indexed="64"/>
      </top>
      <bottom/>
      <diagonal/>
    </border>
    <border>
      <left/>
      <right style="medium">
        <color indexed="64"/>
      </right>
      <top style="thin">
        <color indexed="8"/>
      </top>
      <bottom/>
      <diagonal/>
    </border>
    <border>
      <left style="medium">
        <color indexed="64"/>
      </left>
      <right/>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thin">
        <color indexed="8"/>
      </right>
      <top style="medium">
        <color indexed="64"/>
      </top>
      <bottom/>
      <diagonal/>
    </border>
    <border>
      <left style="medium">
        <color indexed="8"/>
      </left>
      <right style="medium">
        <color indexed="8"/>
      </right>
      <top/>
      <bottom style="medium">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bottom style="medium">
        <color indexed="64"/>
      </bottom>
      <diagonal/>
    </border>
    <border>
      <left style="medium">
        <color indexed="64"/>
      </left>
      <right/>
      <top style="medium">
        <color indexed="64"/>
      </top>
      <bottom style="thin">
        <color indexed="64"/>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style="medium">
        <color indexed="64"/>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bottom style="medium">
        <color indexed="64"/>
      </bottom>
      <diagonal/>
    </border>
    <border>
      <left style="medium">
        <color indexed="64"/>
      </left>
      <right style="thin">
        <color indexed="8"/>
      </right>
      <top style="thin">
        <color indexed="64"/>
      </top>
      <bottom style="medium">
        <color indexed="64"/>
      </bottom>
      <diagonal/>
    </border>
    <border>
      <left style="thin">
        <color indexed="8"/>
      </left>
      <right style="medium">
        <color indexed="8"/>
      </right>
      <top style="medium">
        <color indexed="8"/>
      </top>
      <bottom style="medium">
        <color indexed="8"/>
      </bottom>
      <diagonal/>
    </border>
    <border>
      <left style="medium">
        <color indexed="64"/>
      </left>
      <right style="thin">
        <color indexed="8"/>
      </right>
      <top/>
      <bottom style="thin">
        <color indexed="64"/>
      </bottom>
      <diagonal/>
    </border>
    <border>
      <left style="thin">
        <color indexed="8"/>
      </left>
      <right style="medium">
        <color indexed="8"/>
      </right>
      <top/>
      <bottom style="thin">
        <color indexed="8"/>
      </bottom>
      <diagonal/>
    </border>
    <border>
      <left style="hair">
        <color indexed="8"/>
      </left>
      <right/>
      <top/>
      <bottom/>
      <diagonal/>
    </border>
    <border>
      <left/>
      <right style="hair">
        <color indexed="8"/>
      </right>
      <top/>
      <bottom/>
      <diagonal/>
    </border>
    <border>
      <left style="medium">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medium">
        <color indexed="64"/>
      </left>
      <right style="thin">
        <color indexed="64"/>
      </right>
      <top/>
      <bottom/>
      <diagonal/>
    </border>
    <border>
      <left style="thin">
        <color indexed="64"/>
      </left>
      <right style="thin">
        <color indexed="8"/>
      </right>
      <top/>
      <bottom style="thin">
        <color indexed="8"/>
      </bottom>
      <diagonal/>
    </border>
    <border>
      <left style="medium">
        <color indexed="64"/>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8"/>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8"/>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style="medium">
        <color indexed="64"/>
      </bottom>
      <diagonal/>
    </border>
    <border>
      <left/>
      <right style="medium">
        <color indexed="64"/>
      </right>
      <top/>
      <bottom style="medium">
        <color indexed="64"/>
      </bottom>
      <diagonal/>
    </border>
    <border>
      <left/>
      <right style="thin">
        <color indexed="8"/>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8"/>
      </right>
      <top style="medium">
        <color indexed="64"/>
      </top>
      <bottom style="medium">
        <color indexed="64"/>
      </bottom>
      <diagonal/>
    </border>
    <border>
      <left/>
      <right/>
      <top style="medium">
        <color indexed="64"/>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style="thin">
        <color indexed="8"/>
      </left>
      <right/>
      <top style="medium">
        <color indexed="8"/>
      </top>
      <bottom style="medium">
        <color indexed="8"/>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8"/>
      </right>
      <top style="medium">
        <color indexed="64"/>
      </top>
      <bottom style="thin">
        <color indexed="8"/>
      </bottom>
      <diagonal/>
    </border>
    <border>
      <left style="thin">
        <color auto="1"/>
      </left>
      <right style="thin">
        <color auto="1"/>
      </right>
      <top style="medium">
        <color indexed="64"/>
      </top>
      <bottom style="thin">
        <color auto="1"/>
      </bottom>
      <diagonal/>
    </border>
    <border>
      <left style="thin">
        <color indexed="8"/>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right/>
      <top style="medium">
        <color indexed="8"/>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top style="thin">
        <color indexed="64"/>
      </top>
      <bottom/>
      <diagonal/>
    </border>
    <border>
      <left/>
      <right/>
      <top style="thin">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style="thin">
        <color indexed="64"/>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64"/>
      </top>
      <bottom style="medium">
        <color indexed="8"/>
      </bottom>
      <diagonal/>
    </border>
    <border>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medium">
        <color indexed="8"/>
      </right>
      <top/>
      <bottom style="medium">
        <color indexed="8"/>
      </bottom>
      <diagonal/>
    </border>
    <border>
      <left style="thin">
        <color indexed="8"/>
      </left>
      <right/>
      <top style="thin">
        <color indexed="8"/>
      </top>
      <bottom/>
      <diagonal/>
    </border>
    <border>
      <left style="thin">
        <color indexed="64"/>
      </left>
      <right style="medium">
        <color indexed="8"/>
      </right>
      <top style="medium">
        <color indexed="8"/>
      </top>
      <bottom style="thin">
        <color indexed="8"/>
      </bottom>
      <diagonal/>
    </border>
    <border>
      <left style="thin">
        <color indexed="64"/>
      </left>
      <right style="medium">
        <color indexed="8"/>
      </right>
      <top style="thin">
        <color indexed="8"/>
      </top>
      <bottom style="thin">
        <color indexed="8"/>
      </bottom>
      <diagonal/>
    </border>
    <border>
      <left style="thin">
        <color indexed="64"/>
      </left>
      <right style="medium">
        <color indexed="8"/>
      </right>
      <top style="thin">
        <color indexed="8"/>
      </top>
      <bottom style="medium">
        <color indexed="64"/>
      </bottom>
      <diagonal/>
    </border>
    <border>
      <left/>
      <right style="thin">
        <color indexed="64"/>
      </right>
      <top style="medium">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ck">
        <color auto="1"/>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right/>
      <top style="mediumDashed">
        <color indexed="64"/>
      </top>
      <bottom style="mediumDashed">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right/>
      <top/>
      <bottom style="medium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ck">
        <color auto="1"/>
      </top>
      <bottom style="thick">
        <color indexed="64"/>
      </bottom>
      <diagonal/>
    </border>
    <border>
      <left/>
      <right/>
      <top style="thick">
        <color indexed="64"/>
      </top>
      <bottom/>
      <diagonal/>
    </border>
    <border>
      <left style="thick">
        <color indexed="64"/>
      </left>
      <right/>
      <top style="thick">
        <color indexed="64"/>
      </top>
      <bottom/>
      <diagonal/>
    </border>
    <border>
      <left/>
      <right style="thick">
        <color auto="1"/>
      </right>
      <top style="thick">
        <color auto="1"/>
      </top>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ck">
        <color auto="1"/>
      </left>
      <right style="thick">
        <color indexed="64"/>
      </right>
      <top/>
      <bottom/>
      <diagonal/>
    </border>
    <border>
      <left style="medium">
        <color indexed="64"/>
      </left>
      <right/>
      <top/>
      <bottom style="thick">
        <color indexed="64"/>
      </bottom>
      <diagonal/>
    </border>
    <border>
      <left style="thick">
        <color auto="1"/>
      </left>
      <right style="thick">
        <color indexed="64"/>
      </right>
      <top/>
      <bottom style="mediumDashed">
        <color indexed="64"/>
      </bottom>
      <diagonal/>
    </border>
    <border>
      <left style="mediumDashed">
        <color indexed="64"/>
      </left>
      <right/>
      <top/>
      <bottom style="mediumDashed">
        <color indexed="64"/>
      </bottom>
      <diagonal/>
    </border>
    <border>
      <left/>
      <right/>
      <top/>
      <bottom style="hair">
        <color indexed="64"/>
      </bottom>
      <diagonal/>
    </border>
    <border>
      <left style="mediumDashed">
        <color indexed="64"/>
      </left>
      <right/>
      <top/>
      <bottom/>
      <diagonal/>
    </border>
    <border>
      <left style="thick">
        <color auto="1"/>
      </left>
      <right style="thick">
        <color indexed="64"/>
      </right>
      <top style="mediumDashed">
        <color indexed="64"/>
      </top>
      <bottom/>
      <diagonal/>
    </border>
    <border>
      <left/>
      <right/>
      <top style="mediumDashed">
        <color indexed="64"/>
      </top>
      <bottom/>
      <diagonal/>
    </border>
    <border>
      <left style="mediumDashed">
        <color indexed="64"/>
      </left>
      <right/>
      <top style="mediumDashed">
        <color indexed="64"/>
      </top>
      <bottom/>
      <diagonal/>
    </border>
    <border>
      <left style="thick">
        <color indexed="64"/>
      </left>
      <right style="thick">
        <color indexed="64"/>
      </right>
      <top/>
      <bottom style="dashDot">
        <color indexed="64"/>
      </bottom>
      <diagonal/>
    </border>
    <border>
      <left style="dashDot">
        <color indexed="64"/>
      </left>
      <right/>
      <top/>
      <bottom style="dashDot">
        <color indexed="64"/>
      </bottom>
      <diagonal/>
    </border>
    <border>
      <left style="dashDot">
        <color indexed="64"/>
      </left>
      <right/>
      <top/>
      <bottom style="hair">
        <color indexed="64"/>
      </bottom>
      <diagonal/>
    </border>
    <border>
      <left style="dashDot">
        <color indexed="64"/>
      </left>
      <right/>
      <top style="hair">
        <color indexed="64"/>
      </top>
      <bottom style="hair">
        <color indexed="64"/>
      </bottom>
      <diagonal/>
    </border>
    <border>
      <left style="thick">
        <color indexed="64"/>
      </left>
      <right style="thick">
        <color indexed="64"/>
      </right>
      <top style="dashDot">
        <color indexed="64"/>
      </top>
      <bottom/>
      <diagonal/>
    </border>
    <border>
      <left style="dashDot">
        <color indexed="64"/>
      </left>
      <right/>
      <top style="dashDot">
        <color indexed="64"/>
      </top>
      <bottom style="hair">
        <color indexed="64"/>
      </bottom>
      <diagonal/>
    </border>
    <border>
      <left/>
      <right style="thick">
        <color indexed="64"/>
      </right>
      <top style="dashDotDot">
        <color auto="1"/>
      </top>
      <bottom style="dashDotDot">
        <color auto="1"/>
      </bottom>
      <diagonal/>
    </border>
    <border>
      <left style="thick">
        <color auto="1"/>
      </left>
      <right style="thick">
        <color auto="1"/>
      </right>
      <top style="dashDotDot">
        <color auto="1"/>
      </top>
      <bottom style="dashDotDot">
        <color auto="1"/>
      </bottom>
      <diagonal/>
    </border>
    <border>
      <left style="thick">
        <color auto="1"/>
      </left>
      <right/>
      <top style="dashDotDot">
        <color auto="1"/>
      </top>
      <bottom style="dashDotDot">
        <color auto="1"/>
      </bottom>
      <diagonal/>
    </border>
    <border>
      <left style="thick">
        <color indexed="64"/>
      </left>
      <right style="thick">
        <color indexed="64"/>
      </right>
      <top style="dashDot">
        <color indexed="64"/>
      </top>
      <bottom style="dashDot">
        <color indexed="64"/>
      </bottom>
      <diagonal/>
    </border>
    <border>
      <left style="dashDot">
        <color indexed="64"/>
      </left>
      <right/>
      <top style="dashDot">
        <color indexed="64"/>
      </top>
      <bottom style="dashDot">
        <color indexed="64"/>
      </bottom>
      <diagonal/>
    </border>
    <border>
      <left/>
      <right style="thick">
        <color indexed="64"/>
      </right>
      <top/>
      <bottom style="dashDotDot">
        <color auto="1"/>
      </bottom>
      <diagonal/>
    </border>
    <border>
      <left style="thick">
        <color auto="1"/>
      </left>
      <right style="thick">
        <color auto="1"/>
      </right>
      <top/>
      <bottom style="dashDotDot">
        <color auto="1"/>
      </bottom>
      <diagonal/>
    </border>
    <border>
      <left style="thick">
        <color auto="1"/>
      </left>
      <right/>
      <top/>
      <bottom style="dashDotDot">
        <color auto="1"/>
      </bottom>
      <diagonal/>
    </border>
    <border>
      <left style="thick">
        <color auto="1"/>
      </left>
      <right style="thick">
        <color auto="1"/>
      </right>
      <top style="dashDotDot">
        <color auto="1"/>
      </top>
      <bottom style="mediumDashed">
        <color indexed="64"/>
      </bottom>
      <diagonal/>
    </border>
    <border>
      <left style="thick">
        <color indexed="64"/>
      </left>
      <right style="thick">
        <color indexed="64"/>
      </right>
      <top style="dashDot">
        <color indexed="64"/>
      </top>
      <bottom style="mediumDashed">
        <color indexed="64"/>
      </bottom>
      <diagonal/>
    </border>
    <border>
      <left style="dashDot">
        <color indexed="64"/>
      </left>
      <right/>
      <top style="dashDot">
        <color indexed="64"/>
      </top>
      <bottom style="mediumDashed">
        <color indexed="64"/>
      </bottom>
      <diagonal/>
    </border>
    <border>
      <left style="thick">
        <color auto="1"/>
      </left>
      <right style="thick">
        <color auto="1"/>
      </right>
      <top style="medium">
        <color indexed="64"/>
      </top>
      <bottom style="mediumDashed">
        <color auto="1"/>
      </bottom>
      <diagonal/>
    </border>
    <border>
      <left/>
      <right/>
      <top style="medium">
        <color indexed="64"/>
      </top>
      <bottom style="mediumDashed">
        <color indexed="64"/>
      </bottom>
      <diagonal/>
    </border>
    <border>
      <left style="mediumDashed">
        <color indexed="64"/>
      </left>
      <right/>
      <top style="medium">
        <color indexed="64"/>
      </top>
      <bottom style="mediumDashed">
        <color indexed="64"/>
      </bottom>
      <diagonal/>
    </border>
    <border>
      <left style="thick">
        <color auto="1"/>
      </left>
      <right style="thick">
        <color indexed="64"/>
      </right>
      <top style="medium">
        <color indexed="64"/>
      </top>
      <bottom style="medium">
        <color indexed="64"/>
      </bottom>
      <diagonal/>
    </border>
    <border>
      <left style="mediumDashed">
        <color indexed="64"/>
      </left>
      <right/>
      <top/>
      <bottom style="thick">
        <color indexed="64"/>
      </bottom>
      <diagonal/>
    </border>
    <border>
      <left style="thick">
        <color indexed="64"/>
      </left>
      <right/>
      <top style="medium">
        <color indexed="64"/>
      </top>
      <bottom/>
      <diagonal/>
    </border>
    <border>
      <left style="thick">
        <color indexed="64"/>
      </left>
      <right style="thick">
        <color indexed="64"/>
      </right>
      <top style="mediumDashed">
        <color indexed="64"/>
      </top>
      <bottom style="mediumDashed">
        <color indexed="64"/>
      </bottom>
      <diagonal/>
    </border>
    <border>
      <left style="mediumDashed">
        <color indexed="64"/>
      </left>
      <right/>
      <top style="mediumDashed">
        <color indexed="64"/>
      </top>
      <bottom style="mediumDashed">
        <color indexed="64"/>
      </bottom>
      <diagonal/>
    </border>
    <border>
      <left/>
      <right style="thick">
        <color indexed="64"/>
      </right>
      <top style="mediumDashed">
        <color indexed="64"/>
      </top>
      <bottom/>
      <diagonal/>
    </border>
    <border>
      <left style="thick">
        <color indexed="64"/>
      </left>
      <right/>
      <top style="medium">
        <color indexed="64"/>
      </top>
      <bottom style="medium">
        <color indexed="64"/>
      </bottom>
      <diagonal/>
    </border>
    <border>
      <left style="thick">
        <color indexed="64"/>
      </left>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top style="mediumDashed">
        <color indexed="64"/>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Dashed">
        <color indexed="64"/>
      </left>
      <right/>
      <top style="medium">
        <color indexed="64"/>
      </top>
      <bottom style="medium">
        <color indexed="64"/>
      </bottom>
      <diagonal/>
    </border>
    <border>
      <left style="mediumDashed">
        <color indexed="64"/>
      </left>
      <right/>
      <top style="mediumDashed">
        <color indexed="64"/>
      </top>
      <bottom style="medium">
        <color indexed="64"/>
      </bottom>
      <diagonal/>
    </border>
    <border>
      <left style="medium">
        <color indexed="64"/>
      </left>
      <right/>
      <top style="mediumDashed">
        <color indexed="64"/>
      </top>
      <bottom/>
      <diagonal/>
    </border>
    <border>
      <left style="mediumDashed">
        <color indexed="64"/>
      </left>
      <right style="medium">
        <color indexed="64"/>
      </right>
      <top style="mediumDashed">
        <color indexed="64"/>
      </top>
      <bottom/>
      <diagonal/>
    </border>
    <border>
      <left style="mediumDashed">
        <color indexed="64"/>
      </left>
      <right style="mediumDashed">
        <color indexed="64"/>
      </right>
      <top style="medium">
        <color indexed="64"/>
      </top>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style="mediumDashed">
        <color indexed="64"/>
      </top>
      <bottom style="medium">
        <color indexed="64"/>
      </bottom>
      <diagonal/>
    </border>
    <border>
      <left style="thick">
        <color auto="1"/>
      </left>
      <right style="thick">
        <color indexed="64"/>
      </right>
      <top/>
      <bottom style="mediumDashDot">
        <color indexed="64"/>
      </bottom>
      <diagonal/>
    </border>
    <border>
      <left style="mediumDashDot">
        <color indexed="64"/>
      </left>
      <right/>
      <top/>
      <bottom style="mediumDashDot">
        <color indexed="64"/>
      </bottom>
      <diagonal/>
    </border>
    <border>
      <left style="mediumDashDot">
        <color indexed="64"/>
      </left>
      <right/>
      <top/>
      <bottom/>
      <diagonal/>
    </border>
    <border>
      <left style="thick">
        <color auto="1"/>
      </left>
      <right style="thick">
        <color indexed="64"/>
      </right>
      <top style="mediumDashDot">
        <color indexed="64"/>
      </top>
      <bottom/>
      <diagonal/>
    </border>
    <border>
      <left style="mediumDashDot">
        <color indexed="64"/>
      </left>
      <right/>
      <top style="mediumDashDot">
        <color indexed="64"/>
      </top>
      <bottom/>
      <diagonal/>
    </border>
    <border>
      <left style="thick">
        <color indexed="64"/>
      </left>
      <right style="thick">
        <color auto="1"/>
      </right>
      <top style="thick">
        <color auto="1"/>
      </top>
      <bottom style="mediumDashed">
        <color indexed="64"/>
      </bottom>
      <diagonal/>
    </border>
    <border>
      <left style="thick">
        <color auto="1"/>
      </left>
      <right style="thick">
        <color auto="1"/>
      </right>
      <top style="thin">
        <color indexed="64"/>
      </top>
      <bottom/>
      <diagonal/>
    </border>
    <border>
      <left style="thick">
        <color auto="1"/>
      </left>
      <right style="thick">
        <color auto="1"/>
      </right>
      <top style="thick">
        <color auto="1"/>
      </top>
      <bottom style="thin">
        <color indexed="64"/>
      </bottom>
      <diagonal/>
    </border>
    <border>
      <left style="thin">
        <color indexed="64"/>
      </left>
      <right/>
      <top/>
      <bottom/>
      <diagonal/>
    </border>
    <border>
      <left/>
      <right/>
      <top/>
      <bottom style="thin">
        <color indexed="64"/>
      </bottom>
      <diagonal/>
    </border>
    <border>
      <left style="thick">
        <color auto="1"/>
      </left>
      <right style="thick">
        <color indexed="64"/>
      </right>
      <top style="medium">
        <color indexed="64"/>
      </top>
      <bottom/>
      <diagonal/>
    </border>
    <border>
      <left style="thick">
        <color auto="1"/>
      </left>
      <right style="thick">
        <color indexed="64"/>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medium">
        <color indexed="64"/>
      </left>
      <right/>
      <top style="thick">
        <color indexed="64"/>
      </top>
      <bottom/>
      <diagonal/>
    </border>
    <border>
      <left style="mediumDashed">
        <color indexed="64"/>
      </left>
      <right/>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right style="thick">
        <color indexed="64"/>
      </right>
      <top/>
      <bottom/>
      <diagonal/>
    </border>
    <border>
      <left style="thick">
        <color indexed="64"/>
      </left>
      <right style="medium">
        <color indexed="64"/>
      </right>
      <top/>
      <bottom/>
      <diagonal/>
    </border>
    <border>
      <left/>
      <right style="thick">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n">
        <color auto="1"/>
      </left>
      <right/>
      <top style="thick">
        <color auto="1"/>
      </top>
      <bottom style="medium">
        <color auto="1"/>
      </bottom>
      <diagonal/>
    </border>
    <border>
      <left style="medium">
        <color indexed="64"/>
      </left>
      <right/>
      <top style="thick">
        <color auto="1"/>
      </top>
      <bottom style="medium">
        <color auto="1"/>
      </bottom>
      <diagonal/>
    </border>
    <border>
      <left/>
      <right style="thick">
        <color indexed="64"/>
      </right>
      <top style="thick">
        <color indexed="64"/>
      </top>
      <bottom style="thick">
        <color indexed="64"/>
      </bottom>
      <diagonal/>
    </border>
    <border>
      <left style="thick">
        <color indexed="64"/>
      </left>
      <right style="medium">
        <color indexed="64"/>
      </right>
      <top style="thick">
        <color auto="1"/>
      </top>
      <bottom style="thick">
        <color auto="1"/>
      </bottom>
      <diagonal/>
    </border>
    <border>
      <left style="medium">
        <color indexed="64"/>
      </left>
      <right style="thick">
        <color indexed="64"/>
      </right>
      <top style="thick">
        <color auto="1"/>
      </top>
      <bottom style="thick">
        <color auto="1"/>
      </bottom>
      <diagonal/>
    </border>
    <border>
      <left/>
      <right style="medium">
        <color indexed="64"/>
      </right>
      <top style="thick">
        <color indexed="64"/>
      </top>
      <bottom/>
      <diagonal/>
    </border>
    <border>
      <left/>
      <right style="medium">
        <color indexed="64"/>
      </right>
      <top/>
      <bottom style="thick">
        <color indexed="64"/>
      </bottom>
      <diagonal/>
    </border>
    <border>
      <left style="medium">
        <color indexed="64"/>
      </left>
      <right style="medium">
        <color indexed="64"/>
      </right>
      <top style="dashDot">
        <color indexed="64"/>
      </top>
      <bottom style="thick">
        <color indexed="64"/>
      </bottom>
      <diagonal/>
    </border>
    <border>
      <left style="medium">
        <color indexed="64"/>
      </left>
      <right style="thick">
        <color indexed="64"/>
      </right>
      <top style="dashDot">
        <color indexed="64"/>
      </top>
      <bottom style="thick">
        <color indexed="64"/>
      </bottom>
      <diagonal/>
    </border>
    <border>
      <left style="thick">
        <color indexed="64"/>
      </left>
      <right/>
      <top/>
      <bottom style="mediumDashed">
        <color indexed="64"/>
      </bottom>
      <diagonal/>
    </border>
    <border>
      <left/>
      <right style="thick">
        <color indexed="64"/>
      </right>
      <top/>
      <bottom style="mediumDashed">
        <color indexed="64"/>
      </bottom>
      <diagonal/>
    </border>
    <border>
      <left style="thick">
        <color indexed="64"/>
      </left>
      <right/>
      <top style="mediumDashed">
        <color indexed="64"/>
      </top>
      <bottom style="mediumDashed">
        <color indexed="64"/>
      </bottom>
      <diagonal/>
    </border>
    <border>
      <left/>
      <right style="thick">
        <color indexed="64"/>
      </right>
      <top style="mediumDashed">
        <color indexed="64"/>
      </top>
      <bottom style="mediumDashed">
        <color indexed="64"/>
      </bottom>
      <diagonal/>
    </border>
    <border>
      <left style="thick">
        <color indexed="64"/>
      </left>
      <right/>
      <top style="mediumDashed">
        <color indexed="64"/>
      </top>
      <bottom style="thick">
        <color indexed="64"/>
      </bottom>
      <diagonal/>
    </border>
    <border>
      <left/>
      <right/>
      <top style="mediumDashed">
        <color indexed="64"/>
      </top>
      <bottom style="thick">
        <color indexed="64"/>
      </bottom>
      <diagonal/>
    </border>
    <border>
      <left/>
      <right style="thick">
        <color indexed="64"/>
      </right>
      <top style="mediumDashed">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right style="medium">
        <color indexed="64"/>
      </right>
      <top style="medium">
        <color indexed="8"/>
      </top>
      <bottom style="medium">
        <color indexed="64"/>
      </bottom>
      <diagonal/>
    </border>
    <border>
      <left/>
      <right style="medium">
        <color indexed="64"/>
      </right>
      <top style="medium">
        <color indexed="64"/>
      </top>
      <bottom/>
      <diagonal/>
    </border>
    <border>
      <left style="medium">
        <color indexed="64"/>
      </left>
      <right style="thin">
        <color indexed="8"/>
      </right>
      <top/>
      <bottom/>
      <diagonal/>
    </border>
    <border>
      <left style="medium">
        <color indexed="64"/>
      </left>
      <right style="thin">
        <color indexed="8"/>
      </right>
      <top style="thin">
        <color indexed="64"/>
      </top>
      <bottom/>
      <diagonal/>
    </border>
    <border>
      <left/>
      <right style="thin">
        <color indexed="8"/>
      </right>
      <top style="thin">
        <color indexed="8"/>
      </top>
      <bottom/>
      <diagonal/>
    </border>
    <border>
      <left style="thin">
        <color indexed="8"/>
      </left>
      <right style="thin">
        <color indexed="8"/>
      </right>
      <top/>
      <bottom/>
      <diagonal/>
    </border>
    <border>
      <left/>
      <right style="medium">
        <color indexed="64"/>
      </right>
      <top style="thin">
        <color indexed="64"/>
      </top>
      <bottom/>
      <diagonal/>
    </border>
    <border>
      <left style="thin">
        <color indexed="64"/>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style="thin">
        <color indexed="8"/>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8"/>
      </left>
      <right style="medium">
        <color indexed="8"/>
      </right>
      <top style="medium">
        <color indexed="64"/>
      </top>
      <bottom style="medium">
        <color indexed="8"/>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applyNumberFormat="0" applyFill="0" applyBorder="0" applyProtection="0">
      <alignment vertical="top" wrapText="1"/>
    </xf>
    <xf numFmtId="44" fontId="3" fillId="0" borderId="0" applyFont="0" applyFill="0" applyBorder="0" applyAlignment="0" applyProtection="0"/>
    <xf numFmtId="0" fontId="4" fillId="0" borderId="0" applyNumberFormat="0" applyFill="0" applyBorder="0" applyProtection="0">
      <alignment vertical="top" wrapText="1"/>
    </xf>
    <xf numFmtId="0" fontId="3" fillId="0" borderId="0" applyNumberFormat="0" applyFill="0" applyBorder="0" applyProtection="0">
      <alignment vertical="top" wrapText="1"/>
    </xf>
    <xf numFmtId="44" fontId="3" fillId="0" borderId="0" applyFont="0" applyFill="0" applyBorder="0" applyAlignment="0" applyProtection="0"/>
    <xf numFmtId="0" fontId="2" fillId="0" borderId="0"/>
    <xf numFmtId="44" fontId="2" fillId="0" borderId="0" applyFont="0" applyFill="0" applyBorder="0" applyAlignment="0" applyProtection="0"/>
    <xf numFmtId="0" fontId="37" fillId="0" borderId="0"/>
    <xf numFmtId="0" fontId="41" fillId="0" borderId="0" applyNumberFormat="0" applyFill="0" applyBorder="0" applyAlignment="0" applyProtection="0"/>
    <xf numFmtId="0" fontId="1" fillId="0" borderId="0"/>
  </cellStyleXfs>
  <cellXfs count="1534">
    <xf numFmtId="0" fontId="0" fillId="0" borderId="0" xfId="0">
      <alignment vertical="top" wrapText="1"/>
    </xf>
    <xf numFmtId="44" fontId="9" fillId="19" borderId="26" xfId="6" applyFont="1" applyFill="1" applyBorder="1" applyAlignment="1" applyProtection="1">
      <alignment vertical="center"/>
      <protection locked="0"/>
    </xf>
    <xf numFmtId="44" fontId="11" fillId="18" borderId="14" xfId="6" applyFont="1" applyFill="1" applyBorder="1" applyAlignment="1" applyProtection="1">
      <alignment horizontal="center"/>
    </xf>
    <xf numFmtId="44" fontId="11" fillId="0" borderId="0" xfId="6" applyFont="1" applyFill="1" applyBorder="1" applyAlignment="1" applyProtection="1">
      <alignment horizontal="center"/>
    </xf>
    <xf numFmtId="44" fontId="11" fillId="0" borderId="0" xfId="6" applyFont="1" applyProtection="1"/>
    <xf numFmtId="1" fontId="9" fillId="19" borderId="26" xfId="6" applyNumberFormat="1" applyFont="1" applyFill="1" applyBorder="1" applyAlignment="1" applyProtection="1">
      <alignment horizontal="center" vertical="center"/>
      <protection locked="0"/>
    </xf>
    <xf numFmtId="44" fontId="11" fillId="18" borderId="14" xfId="6" applyFont="1" applyFill="1" applyBorder="1" applyProtection="1"/>
    <xf numFmtId="44" fontId="11" fillId="0" borderId="0" xfId="6" applyFont="1" applyFill="1" applyBorder="1" applyProtection="1"/>
    <xf numFmtId="44" fontId="9" fillId="17" borderId="13" xfId="6" applyFont="1" applyFill="1" applyBorder="1" applyAlignment="1" applyProtection="1">
      <alignment vertical="center"/>
    </xf>
    <xf numFmtId="0" fontId="8" fillId="0" borderId="0" xfId="5" applyFont="1"/>
    <xf numFmtId="0" fontId="8" fillId="0" borderId="0" xfId="5" applyFont="1" applyAlignment="1">
      <alignment vertical="center" wrapText="1"/>
    </xf>
    <xf numFmtId="0" fontId="10" fillId="0" borderId="0" xfId="5" applyFont="1"/>
    <xf numFmtId="9" fontId="8" fillId="0" borderId="0" xfId="5" applyNumberFormat="1" applyFont="1"/>
    <xf numFmtId="0" fontId="8" fillId="0" borderId="0" xfId="5" applyFont="1" applyAlignment="1">
      <alignment vertical="center"/>
    </xf>
    <xf numFmtId="0" fontId="9" fillId="17" borderId="11" xfId="5" applyFont="1" applyFill="1" applyBorder="1" applyAlignment="1">
      <alignment horizontal="center" vertical="center" wrapText="1"/>
    </xf>
    <xf numFmtId="0" fontId="8" fillId="0" borderId="64" xfId="5" applyFont="1" applyBorder="1"/>
    <xf numFmtId="0" fontId="8" fillId="0" borderId="65" xfId="5" applyFont="1" applyBorder="1"/>
    <xf numFmtId="0" fontId="8" fillId="0" borderId="24" xfId="5" applyFont="1" applyBorder="1" applyAlignment="1">
      <alignment horizontal="center"/>
    </xf>
    <xf numFmtId="4" fontId="8" fillId="0" borderId="20" xfId="5" applyNumberFormat="1" applyFont="1" applyBorder="1" applyAlignment="1">
      <alignment horizontal="center"/>
    </xf>
    <xf numFmtId="0" fontId="8" fillId="0" borderId="9" xfId="5" applyFont="1" applyBorder="1" applyAlignment="1">
      <alignment horizontal="center"/>
    </xf>
    <xf numFmtId="4" fontId="8" fillId="0" borderId="33" xfId="5" applyNumberFormat="1" applyFont="1" applyBorder="1" applyAlignment="1">
      <alignment horizontal="center"/>
    </xf>
    <xf numFmtId="0" fontId="9" fillId="17" borderId="66" xfId="5" applyFont="1" applyFill="1" applyBorder="1" applyAlignment="1">
      <alignment horizontal="center"/>
    </xf>
    <xf numFmtId="4" fontId="9" fillId="17" borderId="67" xfId="5" applyNumberFormat="1" applyFont="1" applyFill="1" applyBorder="1" applyAlignment="1">
      <alignment horizontal="center"/>
    </xf>
    <xf numFmtId="164" fontId="8" fillId="0" borderId="0" xfId="5" applyNumberFormat="1" applyFont="1"/>
    <xf numFmtId="10" fontId="8" fillId="0" borderId="0" xfId="5" applyNumberFormat="1" applyFont="1" applyAlignment="1">
      <alignment horizontal="center"/>
    </xf>
    <xf numFmtId="164" fontId="8" fillId="0" borderId="6" xfId="5" applyNumberFormat="1" applyFont="1" applyBorder="1"/>
    <xf numFmtId="0" fontId="9" fillId="0" borderId="0" xfId="5" applyFont="1"/>
    <xf numFmtId="164" fontId="9" fillId="0" borderId="0" xfId="5" applyNumberFormat="1" applyFont="1"/>
    <xf numFmtId="164" fontId="12" fillId="0" borderId="18" xfId="5" applyNumberFormat="1" applyFont="1" applyBorder="1"/>
    <xf numFmtId="0" fontId="13" fillId="0" borderId="0" xfId="0" applyFont="1">
      <alignment vertical="top" wrapText="1"/>
    </xf>
    <xf numFmtId="0" fontId="13" fillId="3" borderId="0" xfId="0" applyFont="1" applyFill="1" applyBorder="1" applyAlignment="1" applyProtection="1">
      <alignment vertical="center" wrapText="1"/>
      <protection locked="0"/>
    </xf>
    <xf numFmtId="0" fontId="13" fillId="0" borderId="0" xfId="0" applyNumberFormat="1" applyFont="1" applyAlignment="1" applyProtection="1">
      <alignment vertical="center" wrapText="1"/>
      <protection locked="0"/>
    </xf>
    <xf numFmtId="0" fontId="15" fillId="4" borderId="0" xfId="0" applyFont="1" applyFill="1" applyBorder="1" applyAlignment="1" applyProtection="1">
      <alignment vertical="center"/>
      <protection locked="0"/>
    </xf>
    <xf numFmtId="0" fontId="17" fillId="3" borderId="0" xfId="0" applyFont="1" applyFill="1" applyBorder="1" applyAlignment="1" applyProtection="1">
      <alignment horizontal="center" vertical="center"/>
      <protection locked="0"/>
    </xf>
    <xf numFmtId="0" fontId="19" fillId="9" borderId="0" xfId="0" applyFont="1" applyFill="1" applyBorder="1" applyAlignment="1" applyProtection="1">
      <alignment vertical="center" wrapText="1"/>
      <protection locked="0"/>
    </xf>
    <xf numFmtId="0" fontId="17" fillId="10" borderId="2" xfId="0" applyNumberFormat="1" applyFont="1" applyFill="1" applyBorder="1" applyAlignment="1" applyProtection="1">
      <alignment horizontal="center" vertical="center"/>
      <protection locked="0"/>
    </xf>
    <xf numFmtId="1" fontId="17" fillId="10" borderId="34" xfId="0" applyNumberFormat="1" applyFont="1" applyFill="1" applyBorder="1" applyAlignment="1" applyProtection="1">
      <alignment horizontal="center" vertical="center"/>
    </xf>
    <xf numFmtId="0" fontId="19" fillId="10" borderId="0" xfId="0" applyFont="1" applyFill="1" applyBorder="1" applyAlignment="1" applyProtection="1">
      <alignment vertical="center" wrapText="1"/>
      <protection locked="0"/>
    </xf>
    <xf numFmtId="0" fontId="17" fillId="11" borderId="2" xfId="0" applyNumberFormat="1" applyFont="1" applyFill="1" applyBorder="1" applyAlignment="1" applyProtection="1">
      <alignment horizontal="center" vertical="center"/>
      <protection locked="0"/>
    </xf>
    <xf numFmtId="1" fontId="17" fillId="11" borderId="34" xfId="0" applyNumberFormat="1" applyFont="1" applyFill="1" applyBorder="1" applyAlignment="1" applyProtection="1">
      <alignment horizontal="center" vertical="center"/>
    </xf>
    <xf numFmtId="0" fontId="19" fillId="12" borderId="0" xfId="0" applyFont="1" applyFill="1" applyBorder="1" applyAlignment="1" applyProtection="1">
      <alignment vertical="center" wrapText="1"/>
      <protection locked="0"/>
    </xf>
    <xf numFmtId="0" fontId="19" fillId="11" borderId="0" xfId="0" applyFont="1" applyFill="1" applyBorder="1" applyAlignment="1" applyProtection="1">
      <alignment vertical="center" wrapText="1"/>
      <protection locked="0"/>
    </xf>
    <xf numFmtId="0" fontId="19" fillId="14" borderId="0" xfId="0" applyFont="1" applyFill="1" applyBorder="1" applyAlignment="1" applyProtection="1">
      <alignment vertical="center" wrapText="1"/>
      <protection locked="0"/>
    </xf>
    <xf numFmtId="0" fontId="19" fillId="15" borderId="0" xfId="0" applyFont="1" applyFill="1" applyBorder="1" applyAlignment="1" applyProtection="1">
      <alignment vertical="center" wrapText="1"/>
      <protection locked="0"/>
    </xf>
    <xf numFmtId="0" fontId="19" fillId="13" borderId="0" xfId="0" applyFont="1" applyFill="1" applyBorder="1" applyAlignment="1" applyProtection="1">
      <alignment vertical="center" wrapText="1"/>
      <protection locked="0"/>
    </xf>
    <xf numFmtId="0" fontId="17" fillId="0" borderId="2" xfId="0" applyNumberFormat="1" applyFont="1" applyFill="1" applyBorder="1" applyAlignment="1" applyProtection="1">
      <alignment horizontal="center" vertical="center"/>
      <protection locked="0"/>
    </xf>
    <xf numFmtId="1" fontId="17" fillId="0" borderId="34" xfId="0" applyNumberFormat="1" applyFont="1" applyFill="1" applyBorder="1" applyAlignment="1" applyProtection="1">
      <alignment horizontal="center" vertical="center"/>
    </xf>
    <xf numFmtId="0" fontId="17" fillId="0" borderId="35" xfId="0" applyNumberFormat="1" applyFont="1" applyFill="1" applyBorder="1" applyAlignment="1" applyProtection="1">
      <alignment horizontal="center" vertical="center"/>
      <protection locked="0"/>
    </xf>
    <xf numFmtId="1" fontId="17" fillId="0" borderId="38" xfId="0" applyNumberFormat="1" applyFont="1" applyFill="1" applyBorder="1" applyAlignment="1" applyProtection="1">
      <alignment horizontal="center" vertical="center"/>
    </xf>
    <xf numFmtId="1" fontId="16" fillId="7" borderId="46" xfId="0" applyNumberFormat="1" applyFont="1" applyFill="1" applyBorder="1" applyAlignment="1" applyProtection="1">
      <alignment horizontal="center" vertical="center"/>
    </xf>
    <xf numFmtId="1" fontId="16" fillId="3" borderId="0" xfId="0" applyNumberFormat="1" applyFont="1" applyFill="1" applyBorder="1" applyAlignment="1" applyProtection="1">
      <alignment horizontal="center" vertical="center"/>
      <protection locked="0"/>
    </xf>
    <xf numFmtId="15" fontId="16" fillId="4" borderId="0" xfId="0" applyNumberFormat="1"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44" fontId="17" fillId="0" borderId="75" xfId="1" applyFont="1" applyFill="1" applyBorder="1" applyAlignment="1" applyProtection="1">
      <alignment horizontal="center" vertical="center"/>
      <protection locked="0"/>
    </xf>
    <xf numFmtId="165" fontId="17" fillId="0" borderId="73" xfId="0" applyNumberFormat="1" applyFont="1" applyFill="1" applyBorder="1" applyAlignment="1" applyProtection="1">
      <alignment horizontal="center" vertical="center"/>
      <protection locked="0"/>
    </xf>
    <xf numFmtId="3" fontId="17" fillId="0" borderId="72" xfId="0" applyNumberFormat="1" applyFont="1" applyFill="1" applyBorder="1" applyAlignment="1" applyProtection="1">
      <alignment horizontal="center" vertical="center"/>
      <protection locked="0"/>
    </xf>
    <xf numFmtId="1" fontId="17" fillId="0" borderId="73" xfId="0" applyNumberFormat="1" applyFont="1" applyFill="1" applyBorder="1" applyAlignment="1" applyProtection="1">
      <alignment horizontal="center" vertical="center"/>
      <protection locked="0"/>
    </xf>
    <xf numFmtId="49" fontId="17" fillId="4" borderId="80" xfId="0" applyNumberFormat="1" applyFont="1" applyFill="1" applyBorder="1" applyAlignment="1" applyProtection="1">
      <alignment vertical="center"/>
      <protection locked="0"/>
    </xf>
    <xf numFmtId="49" fontId="17" fillId="4" borderId="81" xfId="0" applyNumberFormat="1" applyFont="1" applyFill="1" applyBorder="1" applyAlignment="1" applyProtection="1">
      <alignment vertical="center"/>
      <protection locked="0"/>
    </xf>
    <xf numFmtId="49" fontId="17" fillId="4" borderId="78" xfId="0" applyNumberFormat="1" applyFont="1" applyFill="1" applyBorder="1" applyAlignment="1" applyProtection="1">
      <alignment vertical="center"/>
      <protection locked="0"/>
    </xf>
    <xf numFmtId="49" fontId="17" fillId="4" borderId="79" xfId="0" applyNumberFormat="1" applyFont="1" applyFill="1" applyBorder="1" applyAlignment="1" applyProtection="1">
      <alignment vertical="center"/>
      <protection locked="0"/>
    </xf>
    <xf numFmtId="44" fontId="17" fillId="0" borderId="77" xfId="1" applyFont="1" applyFill="1" applyBorder="1" applyAlignment="1" applyProtection="1">
      <alignment horizontal="center" vertical="center"/>
      <protection locked="0"/>
    </xf>
    <xf numFmtId="165" fontId="17" fillId="0" borderId="37" xfId="0" applyNumberFormat="1" applyFont="1" applyFill="1" applyBorder="1" applyAlignment="1" applyProtection="1">
      <alignment horizontal="center" vertical="center"/>
      <protection locked="0"/>
    </xf>
    <xf numFmtId="3" fontId="17" fillId="0" borderId="36" xfId="0" applyNumberFormat="1" applyFont="1" applyFill="1" applyBorder="1" applyAlignment="1" applyProtection="1">
      <alignment horizontal="center" vertical="center"/>
      <protection locked="0"/>
    </xf>
    <xf numFmtId="1" fontId="17" fillId="0" borderId="37" xfId="0" applyNumberFormat="1" applyFont="1" applyFill="1" applyBorder="1" applyAlignment="1" applyProtection="1">
      <alignment horizontal="center" vertical="center"/>
      <protection locked="0"/>
    </xf>
    <xf numFmtId="0" fontId="21" fillId="8" borderId="22"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2" fontId="21" fillId="8" borderId="0" xfId="0" applyNumberFormat="1" applyFont="1" applyFill="1" applyBorder="1" applyAlignment="1" applyProtection="1">
      <alignment vertical="center"/>
      <protection locked="0"/>
    </xf>
    <xf numFmtId="167" fontId="21" fillId="8" borderId="0" xfId="0" applyNumberFormat="1" applyFont="1" applyFill="1" applyBorder="1" applyAlignment="1" applyProtection="1">
      <alignment vertical="center"/>
      <protection locked="0"/>
    </xf>
    <xf numFmtId="2" fontId="21" fillId="8" borderId="22" xfId="0" applyNumberFormat="1" applyFont="1" applyFill="1" applyBorder="1" applyAlignment="1" applyProtection="1">
      <alignment vertical="center"/>
      <protection locked="0"/>
    </xf>
    <xf numFmtId="2" fontId="21" fillId="8" borderId="84" xfId="0" applyNumberFormat="1" applyFont="1" applyFill="1" applyBorder="1" applyAlignment="1" applyProtection="1">
      <alignment vertical="center"/>
      <protection locked="0"/>
    </xf>
    <xf numFmtId="44" fontId="20" fillId="7" borderId="85" xfId="1" applyFont="1" applyFill="1" applyBorder="1" applyAlignment="1" applyProtection="1">
      <alignment horizontal="center" vertical="center"/>
      <protection locked="0"/>
    </xf>
    <xf numFmtId="44" fontId="20" fillId="7" borderId="86" xfId="1" applyFont="1" applyFill="1" applyBorder="1" applyAlignment="1" applyProtection="1">
      <alignment horizontal="center" vertical="center"/>
      <protection locked="0"/>
    </xf>
    <xf numFmtId="49" fontId="20" fillId="7" borderId="32" xfId="0" applyNumberFormat="1" applyFont="1" applyFill="1" applyBorder="1" applyAlignment="1" applyProtection="1">
      <alignment horizontal="center" vertical="center"/>
      <protection locked="0"/>
    </xf>
    <xf numFmtId="167" fontId="20" fillId="7" borderId="32" xfId="0" applyNumberFormat="1" applyFont="1" applyFill="1" applyBorder="1" applyAlignment="1" applyProtection="1">
      <alignment horizontal="center" vertical="center"/>
      <protection locked="0"/>
    </xf>
    <xf numFmtId="167" fontId="20" fillId="7" borderId="87" xfId="0" applyNumberFormat="1" applyFont="1" applyFill="1" applyBorder="1" applyAlignment="1" applyProtection="1">
      <alignment horizontal="center" vertical="center"/>
      <protection locked="0"/>
    </xf>
    <xf numFmtId="49" fontId="21" fillId="7" borderId="88" xfId="0" applyNumberFormat="1" applyFont="1" applyFill="1" applyBorder="1" applyAlignment="1" applyProtection="1">
      <alignment horizontal="center" vertical="center"/>
      <protection locked="0"/>
    </xf>
    <xf numFmtId="166" fontId="17" fillId="7" borderId="73" xfId="0" applyNumberFormat="1" applyFont="1" applyFill="1" applyBorder="1" applyAlignment="1" applyProtection="1">
      <alignment horizontal="right" vertical="center"/>
    </xf>
    <xf numFmtId="166" fontId="17" fillId="7" borderId="37" xfId="0" applyNumberFormat="1" applyFont="1" applyFill="1" applyBorder="1" applyAlignment="1" applyProtection="1">
      <alignment horizontal="right" vertical="center"/>
    </xf>
    <xf numFmtId="164" fontId="17" fillId="7" borderId="70" xfId="0" applyNumberFormat="1" applyFont="1" applyFill="1" applyBorder="1" applyAlignment="1" applyProtection="1">
      <alignment horizontal="right" vertical="center"/>
    </xf>
    <xf numFmtId="0" fontId="13" fillId="0" borderId="85" xfId="0" applyFont="1" applyBorder="1" applyProtection="1">
      <alignment vertical="top" wrapText="1"/>
      <protection locked="0"/>
    </xf>
    <xf numFmtId="44" fontId="17" fillId="0" borderId="22" xfId="1" applyFont="1" applyFill="1" applyBorder="1" applyAlignment="1" applyProtection="1">
      <alignment horizontal="right" vertical="center"/>
      <protection locked="0"/>
    </xf>
    <xf numFmtId="0" fontId="13" fillId="0" borderId="74" xfId="0" applyFont="1" applyBorder="1" applyProtection="1">
      <alignment vertical="top" wrapText="1"/>
      <protection locked="0"/>
    </xf>
    <xf numFmtId="44" fontId="17" fillId="0" borderId="53" xfId="1" applyFont="1" applyFill="1" applyBorder="1" applyAlignment="1" applyProtection="1">
      <alignment horizontal="right" vertical="center"/>
      <protection locked="0"/>
    </xf>
    <xf numFmtId="0" fontId="13" fillId="0" borderId="76" xfId="0" applyFont="1" applyBorder="1" applyProtection="1">
      <alignment vertical="top" wrapText="1"/>
      <protection locked="0"/>
    </xf>
    <xf numFmtId="44" fontId="17" fillId="0" borderId="18" xfId="1" applyFont="1" applyFill="1" applyBorder="1" applyAlignment="1" applyProtection="1">
      <alignment horizontal="right" vertical="center"/>
      <protection locked="0"/>
    </xf>
    <xf numFmtId="44" fontId="20" fillId="7" borderId="68" xfId="1" applyFont="1" applyFill="1" applyBorder="1" applyAlignment="1" applyProtection="1">
      <alignment horizontal="center" vertical="center"/>
    </xf>
    <xf numFmtId="44" fontId="20" fillId="7" borderId="69" xfId="1" applyFont="1" applyFill="1" applyBorder="1" applyAlignment="1" applyProtection="1">
      <alignment horizontal="center" vertical="center"/>
    </xf>
    <xf numFmtId="0" fontId="16" fillId="4" borderId="0" xfId="0" applyFont="1" applyFill="1" applyBorder="1" applyAlignment="1" applyProtection="1">
      <alignment horizontal="left" vertical="center"/>
      <protection locked="0"/>
    </xf>
    <xf numFmtId="44" fontId="17" fillId="4" borderId="0" xfId="1" applyFont="1" applyFill="1" applyBorder="1" applyAlignment="1" applyProtection="1">
      <alignment horizontal="center" vertical="center"/>
      <protection locked="0"/>
    </xf>
    <xf numFmtId="167" fontId="16" fillId="4" borderId="0" xfId="0" applyNumberFormat="1" applyFont="1" applyFill="1" applyBorder="1" applyAlignment="1" applyProtection="1">
      <alignment horizontal="center" vertical="center"/>
      <protection locked="0"/>
    </xf>
    <xf numFmtId="164" fontId="16" fillId="4" borderId="0" xfId="0" applyNumberFormat="1" applyFont="1" applyFill="1" applyBorder="1" applyAlignment="1" applyProtection="1">
      <alignment horizontal="center" vertical="center"/>
      <protection locked="0"/>
    </xf>
    <xf numFmtId="49" fontId="18" fillId="7" borderId="12" xfId="0" applyNumberFormat="1" applyFont="1" applyFill="1" applyBorder="1" applyAlignment="1" applyProtection="1">
      <alignment horizontal="center" vertical="center"/>
      <protection locked="0"/>
    </xf>
    <xf numFmtId="167" fontId="18" fillId="7" borderId="91" xfId="0" applyNumberFormat="1" applyFont="1" applyFill="1" applyBorder="1" applyAlignment="1" applyProtection="1">
      <alignment horizontal="center" vertical="center"/>
      <protection locked="0"/>
    </xf>
    <xf numFmtId="49" fontId="18" fillId="7" borderId="56" xfId="0" applyNumberFormat="1" applyFont="1" applyFill="1" applyBorder="1" applyAlignment="1" applyProtection="1">
      <alignment horizontal="center" vertical="center"/>
      <protection locked="0"/>
    </xf>
    <xf numFmtId="49" fontId="18" fillId="7" borderId="71" xfId="0" applyNumberFormat="1" applyFont="1" applyFill="1" applyBorder="1" applyAlignment="1" applyProtection="1">
      <alignment horizontal="center" vertical="center"/>
      <protection locked="0"/>
    </xf>
    <xf numFmtId="0" fontId="21" fillId="7" borderId="11" xfId="0" applyNumberFormat="1" applyFont="1" applyFill="1" applyBorder="1" applyAlignment="1" applyProtection="1">
      <alignment horizontal="center" vertical="center" wrapText="1"/>
      <protection locked="0"/>
    </xf>
    <xf numFmtId="167" fontId="24" fillId="5" borderId="13" xfId="0" applyNumberFormat="1" applyFont="1" applyFill="1" applyBorder="1" applyAlignment="1" applyProtection="1">
      <alignment horizontal="center" vertical="center" wrapText="1"/>
      <protection locked="0"/>
    </xf>
    <xf numFmtId="4" fontId="25" fillId="7" borderId="13" xfId="0" applyNumberFormat="1" applyFont="1" applyFill="1" applyBorder="1" applyAlignment="1" applyProtection="1">
      <alignment horizontal="center" vertical="center" wrapText="1"/>
      <protection locked="0"/>
    </xf>
    <xf numFmtId="44" fontId="17" fillId="7" borderId="56" xfId="1" applyFont="1" applyFill="1" applyBorder="1" applyAlignment="1" applyProtection="1">
      <alignment horizontal="center" vertical="center"/>
      <protection locked="0"/>
    </xf>
    <xf numFmtId="0" fontId="13" fillId="0" borderId="57" xfId="0" applyNumberFormat="1" applyFont="1" applyBorder="1" applyAlignment="1" applyProtection="1">
      <alignment vertical="center" wrapText="1"/>
      <protection locked="0"/>
    </xf>
    <xf numFmtId="0" fontId="13" fillId="0" borderId="62" xfId="0" applyNumberFormat="1" applyFont="1" applyBorder="1" applyAlignment="1" applyProtection="1">
      <alignment vertical="center" wrapText="1"/>
      <protection locked="0"/>
    </xf>
    <xf numFmtId="0" fontId="13" fillId="0" borderId="58" xfId="0" applyNumberFormat="1" applyFont="1" applyBorder="1" applyAlignment="1" applyProtection="1">
      <alignment vertical="center" wrapText="1"/>
      <protection locked="0"/>
    </xf>
    <xf numFmtId="44" fontId="17" fillId="3" borderId="2" xfId="1" applyFont="1" applyFill="1" applyBorder="1" applyAlignment="1" applyProtection="1">
      <alignment horizontal="center" vertical="center"/>
      <protection locked="0"/>
    </xf>
    <xf numFmtId="164" fontId="17" fillId="4" borderId="2" xfId="0" applyNumberFormat="1" applyFont="1" applyFill="1" applyBorder="1" applyAlignment="1" applyProtection="1">
      <alignment vertical="center"/>
      <protection locked="0"/>
    </xf>
    <xf numFmtId="164" fontId="17" fillId="4" borderId="3" xfId="0" applyNumberFormat="1" applyFont="1" applyFill="1" applyBorder="1" applyAlignment="1" applyProtection="1">
      <alignment horizontal="right" vertical="center"/>
    </xf>
    <xf numFmtId="164" fontId="17" fillId="3" borderId="2" xfId="0" applyNumberFormat="1" applyFont="1" applyFill="1" applyBorder="1" applyAlignment="1" applyProtection="1">
      <alignment vertical="center"/>
      <protection locked="0"/>
    </xf>
    <xf numFmtId="0" fontId="13" fillId="0" borderId="59" xfId="0" applyNumberFormat="1" applyFont="1" applyBorder="1" applyAlignment="1" applyProtection="1">
      <alignment vertical="center" wrapText="1"/>
      <protection locked="0"/>
    </xf>
    <xf numFmtId="44" fontId="17" fillId="3" borderId="4" xfId="1" applyFont="1" applyFill="1" applyBorder="1" applyAlignment="1" applyProtection="1">
      <alignment horizontal="center" vertical="center"/>
      <protection locked="0"/>
    </xf>
    <xf numFmtId="3" fontId="17" fillId="3" borderId="4" xfId="0" applyNumberFormat="1" applyFont="1" applyFill="1" applyBorder="1" applyAlignment="1" applyProtection="1">
      <alignment horizontal="center" vertical="center"/>
      <protection locked="0"/>
    </xf>
    <xf numFmtId="164" fontId="17" fillId="4" borderId="4" xfId="0" applyNumberFormat="1" applyFont="1" applyFill="1" applyBorder="1" applyAlignment="1" applyProtection="1">
      <alignment vertical="center"/>
      <protection locked="0"/>
    </xf>
    <xf numFmtId="0" fontId="13" fillId="0" borderId="0" xfId="0" applyNumberFormat="1" applyFont="1" applyBorder="1" applyAlignment="1" applyProtection="1">
      <alignment vertical="center" wrapText="1"/>
      <protection locked="0"/>
    </xf>
    <xf numFmtId="0" fontId="13" fillId="0" borderId="42" xfId="0" applyNumberFormat="1" applyFont="1" applyBorder="1" applyAlignment="1" applyProtection="1">
      <alignment vertical="center" wrapText="1"/>
      <protection locked="0"/>
    </xf>
    <xf numFmtId="0" fontId="17" fillId="7" borderId="29" xfId="0" applyFont="1" applyFill="1" applyBorder="1" applyAlignment="1" applyProtection="1">
      <alignment vertical="center"/>
      <protection locked="0"/>
    </xf>
    <xf numFmtId="164" fontId="17" fillId="7" borderId="41" xfId="0" applyNumberFormat="1" applyFont="1" applyFill="1" applyBorder="1" applyAlignment="1" applyProtection="1">
      <alignment horizontal="right" vertical="center"/>
    </xf>
    <xf numFmtId="44" fontId="17" fillId="4" borderId="2" xfId="1" applyFont="1" applyFill="1" applyBorder="1" applyAlignment="1" applyProtection="1">
      <alignment horizontal="center" vertical="center"/>
      <protection locked="0"/>
    </xf>
    <xf numFmtId="3" fontId="17" fillId="4" borderId="2" xfId="0" applyNumberFormat="1" applyFont="1" applyFill="1" applyBorder="1" applyAlignment="1" applyProtection="1">
      <alignment horizontal="center" vertical="center"/>
      <protection locked="0"/>
    </xf>
    <xf numFmtId="44" fontId="17" fillId="4" borderId="30" xfId="1" applyFont="1" applyFill="1" applyBorder="1" applyAlignment="1" applyProtection="1">
      <alignment horizontal="center" vertical="center"/>
      <protection locked="0"/>
    </xf>
    <xf numFmtId="0" fontId="13" fillId="0" borderId="60" xfId="0" applyNumberFormat="1" applyFont="1" applyBorder="1" applyAlignment="1" applyProtection="1">
      <alignment vertical="center" wrapText="1"/>
      <protection locked="0"/>
    </xf>
    <xf numFmtId="44" fontId="17" fillId="4" borderId="4" xfId="1" applyFont="1" applyFill="1" applyBorder="1" applyAlignment="1" applyProtection="1">
      <alignment horizontal="center" vertical="center"/>
      <protection locked="0"/>
    </xf>
    <xf numFmtId="3" fontId="17" fillId="4" borderId="4" xfId="0" applyNumberFormat="1" applyFont="1" applyFill="1" applyBorder="1" applyAlignment="1" applyProtection="1">
      <alignment horizontal="center" vertical="center"/>
      <protection locked="0"/>
    </xf>
    <xf numFmtId="164" fontId="17" fillId="3" borderId="4" xfId="0" applyNumberFormat="1" applyFont="1" applyFill="1" applyBorder="1" applyAlignment="1" applyProtection="1">
      <alignment vertical="center"/>
      <protection locked="0"/>
    </xf>
    <xf numFmtId="164" fontId="18" fillId="2" borderId="13" xfId="0" applyNumberFormat="1" applyFont="1" applyFill="1" applyBorder="1" applyAlignment="1" applyProtection="1">
      <alignment horizontal="right" vertical="center"/>
    </xf>
    <xf numFmtId="44" fontId="17" fillId="3" borderId="72" xfId="1" applyFont="1" applyFill="1" applyBorder="1" applyAlignment="1" applyProtection="1">
      <alignment horizontal="center" vertical="center"/>
      <protection locked="0"/>
    </xf>
    <xf numFmtId="3" fontId="17" fillId="3" borderId="72" xfId="0" applyNumberFormat="1" applyFont="1" applyFill="1" applyBorder="1" applyAlignment="1" applyProtection="1">
      <alignment horizontal="center" vertical="center"/>
      <protection locked="0"/>
    </xf>
    <xf numFmtId="164" fontId="17" fillId="4" borderId="72" xfId="0" applyNumberFormat="1" applyFont="1" applyFill="1" applyBorder="1" applyAlignment="1" applyProtection="1">
      <alignment vertical="center"/>
      <protection locked="0"/>
    </xf>
    <xf numFmtId="44" fontId="17" fillId="7" borderId="95" xfId="1" applyFont="1" applyFill="1" applyBorder="1" applyAlignment="1" applyProtection="1">
      <alignment horizontal="center" vertical="center"/>
      <protection locked="0"/>
    </xf>
    <xf numFmtId="0" fontId="17" fillId="7" borderId="56" xfId="2" applyNumberFormat="1" applyFont="1" applyFill="1" applyBorder="1" applyAlignment="1" applyProtection="1">
      <alignment horizontal="center" vertical="center"/>
      <protection locked="0"/>
    </xf>
    <xf numFmtId="167" fontId="17" fillId="7" borderId="56" xfId="2" applyNumberFormat="1" applyFont="1" applyFill="1" applyBorder="1" applyAlignment="1" applyProtection="1">
      <alignment horizontal="center" vertical="center"/>
      <protection locked="0"/>
    </xf>
    <xf numFmtId="0" fontId="21" fillId="7" borderId="71" xfId="0" applyNumberFormat="1" applyFont="1" applyFill="1" applyBorder="1" applyAlignment="1" applyProtection="1">
      <alignment horizontal="center" vertical="center"/>
      <protection locked="0"/>
    </xf>
    <xf numFmtId="164" fontId="17" fillId="7" borderId="63" xfId="0" applyNumberFormat="1" applyFont="1" applyFill="1" applyBorder="1" applyAlignment="1" applyProtection="1">
      <alignment horizontal="right" vertical="center"/>
    </xf>
    <xf numFmtId="164" fontId="17" fillId="7" borderId="3" xfId="0" applyNumberFormat="1" applyFont="1" applyFill="1" applyBorder="1" applyAlignment="1" applyProtection="1">
      <alignment horizontal="right" vertical="center"/>
    </xf>
    <xf numFmtId="164" fontId="17" fillId="7" borderId="5" xfId="0" applyNumberFormat="1" applyFont="1" applyFill="1" applyBorder="1" applyAlignment="1" applyProtection="1">
      <alignment horizontal="right" vertical="center"/>
    </xf>
    <xf numFmtId="1" fontId="17" fillId="3" borderId="72" xfId="0" applyNumberFormat="1" applyFont="1" applyFill="1" applyBorder="1" applyAlignment="1" applyProtection="1">
      <alignment horizontal="center" vertical="center"/>
      <protection locked="0"/>
    </xf>
    <xf numFmtId="1" fontId="17" fillId="3" borderId="2" xfId="0" applyNumberFormat="1" applyFont="1" applyFill="1" applyBorder="1" applyAlignment="1" applyProtection="1">
      <alignment horizontal="center" vertical="center"/>
      <protection locked="0"/>
    </xf>
    <xf numFmtId="1" fontId="17" fillId="3" borderId="4" xfId="0" applyNumberFormat="1" applyFont="1" applyFill="1" applyBorder="1" applyAlignment="1" applyProtection="1">
      <alignment horizontal="center" vertical="center"/>
      <protection locked="0"/>
    </xf>
    <xf numFmtId="0" fontId="13" fillId="0" borderId="94" xfId="0" applyFont="1" applyBorder="1">
      <alignment vertical="top" wrapText="1"/>
    </xf>
    <xf numFmtId="0" fontId="13" fillId="0" borderId="0" xfId="0" applyFont="1" applyBorder="1">
      <alignment vertical="top" wrapText="1"/>
    </xf>
    <xf numFmtId="0" fontId="13" fillId="0" borderId="28" xfId="0" applyFont="1" applyBorder="1">
      <alignment vertical="top" wrapText="1"/>
    </xf>
    <xf numFmtId="0" fontId="13" fillId="0" borderId="94" xfId="0" applyFont="1" applyBorder="1" applyProtection="1">
      <alignment vertical="top" wrapText="1"/>
      <protection locked="0"/>
    </xf>
    <xf numFmtId="0" fontId="13" fillId="0" borderId="90" xfId="0" applyFont="1" applyBorder="1">
      <alignment vertical="top" wrapText="1"/>
    </xf>
    <xf numFmtId="0" fontId="26" fillId="0" borderId="0" xfId="0" applyFont="1">
      <alignment vertical="top" wrapText="1"/>
    </xf>
    <xf numFmtId="49" fontId="21" fillId="8" borderId="19" xfId="0" applyNumberFormat="1" applyFont="1" applyFill="1" applyBorder="1" applyAlignment="1" applyProtection="1">
      <alignment vertical="center"/>
      <protection locked="0"/>
    </xf>
    <xf numFmtId="44" fontId="21" fillId="8" borderId="19" xfId="1" applyFont="1" applyFill="1" applyBorder="1" applyAlignment="1" applyProtection="1">
      <alignment vertical="center"/>
      <protection locked="0"/>
    </xf>
    <xf numFmtId="49" fontId="21" fillId="8" borderId="19" xfId="0" applyNumberFormat="1" applyFont="1" applyFill="1" applyBorder="1" applyAlignment="1" applyProtection="1">
      <alignment horizontal="center" vertical="center"/>
      <protection locked="0"/>
    </xf>
    <xf numFmtId="167" fontId="21" fillId="8" borderId="100" xfId="0" applyNumberFormat="1" applyFont="1" applyFill="1" applyBorder="1" applyAlignment="1" applyProtection="1">
      <alignment vertical="center"/>
      <protection locked="0"/>
    </xf>
    <xf numFmtId="49" fontId="21" fillId="7" borderId="101" xfId="0" applyNumberFormat="1" applyFont="1" applyFill="1" applyBorder="1" applyAlignment="1" applyProtection="1">
      <alignment horizontal="right" vertical="center"/>
      <protection locked="0"/>
    </xf>
    <xf numFmtId="164" fontId="21" fillId="7" borderId="100" xfId="0" applyNumberFormat="1" applyFont="1" applyFill="1" applyBorder="1" applyAlignment="1" applyProtection="1">
      <alignment horizontal="right" vertical="center"/>
    </xf>
    <xf numFmtId="164" fontId="18" fillId="2" borderId="90" xfId="0" applyNumberFormat="1" applyFont="1" applyFill="1" applyBorder="1" applyAlignment="1" applyProtection="1">
      <alignment horizontal="right" vertical="center"/>
    </xf>
    <xf numFmtId="44" fontId="18" fillId="20" borderId="13" xfId="1" applyFont="1" applyFill="1" applyBorder="1" applyAlignment="1">
      <alignment horizontal="center" vertical="top" wrapText="1"/>
    </xf>
    <xf numFmtId="0" fontId="13" fillId="0" borderId="0" xfId="0" applyFont="1" applyBorder="1" applyProtection="1">
      <alignment vertical="top" wrapText="1"/>
      <protection locked="0"/>
    </xf>
    <xf numFmtId="0" fontId="13" fillId="0" borderId="40" xfId="0" applyFont="1" applyBorder="1" applyProtection="1">
      <alignment vertical="top" wrapText="1"/>
      <protection locked="0"/>
    </xf>
    <xf numFmtId="0" fontId="13" fillId="0" borderId="22" xfId="0" applyNumberFormat="1" applyFont="1" applyBorder="1" applyAlignment="1" applyProtection="1">
      <alignment vertical="center" wrapText="1"/>
      <protection locked="0"/>
    </xf>
    <xf numFmtId="167" fontId="21" fillId="8" borderId="22" xfId="0" applyNumberFormat="1" applyFont="1" applyFill="1" applyBorder="1" applyAlignment="1" applyProtection="1">
      <alignment vertical="center"/>
      <protection locked="0"/>
    </xf>
    <xf numFmtId="2" fontId="21" fillId="8" borderId="28" xfId="0" applyNumberFormat="1" applyFont="1" applyFill="1" applyBorder="1" applyAlignment="1" applyProtection="1">
      <alignment vertical="center"/>
      <protection locked="0"/>
    </xf>
    <xf numFmtId="0" fontId="21" fillId="7" borderId="61" xfId="0" applyNumberFormat="1" applyFont="1" applyFill="1" applyBorder="1" applyAlignment="1" applyProtection="1">
      <alignment horizontal="center" vertical="center"/>
      <protection locked="0"/>
    </xf>
    <xf numFmtId="0" fontId="13" fillId="3" borderId="110" xfId="0" applyFont="1" applyFill="1" applyBorder="1" applyAlignment="1" applyProtection="1">
      <alignment vertical="center" wrapText="1"/>
      <protection locked="0"/>
    </xf>
    <xf numFmtId="44" fontId="17" fillId="4" borderId="31" xfId="1" applyFont="1" applyFill="1" applyBorder="1" applyAlignment="1" applyProtection="1">
      <alignment horizontal="center" vertical="center"/>
      <protection locked="0"/>
    </xf>
    <xf numFmtId="3" fontId="17" fillId="4" borderId="31" xfId="0" applyNumberFormat="1" applyFont="1" applyFill="1" applyBorder="1" applyAlignment="1" applyProtection="1">
      <alignment horizontal="center" vertical="center"/>
      <protection locked="0"/>
    </xf>
    <xf numFmtId="164" fontId="17" fillId="4" borderId="31" xfId="0" applyNumberFormat="1" applyFont="1" applyFill="1" applyBorder="1" applyAlignment="1" applyProtection="1">
      <alignment vertical="center"/>
      <protection locked="0"/>
    </xf>
    <xf numFmtId="44" fontId="17" fillId="4" borderId="72" xfId="1" applyFont="1" applyFill="1" applyBorder="1" applyAlignment="1" applyProtection="1">
      <alignment horizontal="center" vertical="center"/>
      <protection locked="0"/>
    </xf>
    <xf numFmtId="3" fontId="17" fillId="4" borderId="72" xfId="0" applyNumberFormat="1" applyFont="1" applyFill="1" applyBorder="1" applyAlignment="1" applyProtection="1">
      <alignment horizontal="center" vertical="center"/>
      <protection locked="0"/>
    </xf>
    <xf numFmtId="0" fontId="27" fillId="0" borderId="42" xfId="0" applyNumberFormat="1" applyFont="1" applyBorder="1" applyAlignment="1" applyProtection="1">
      <alignment vertical="center" wrapText="1"/>
      <protection locked="0"/>
    </xf>
    <xf numFmtId="49" fontId="21" fillId="2" borderId="101" xfId="0" applyNumberFormat="1" applyFont="1" applyFill="1" applyBorder="1" applyAlignment="1" applyProtection="1">
      <alignment horizontal="right" vertical="center"/>
      <protection locked="0"/>
    </xf>
    <xf numFmtId="164" fontId="18" fillId="2" borderId="100" xfId="0" applyNumberFormat="1" applyFont="1" applyFill="1" applyBorder="1" applyAlignment="1" applyProtection="1">
      <alignment horizontal="right" vertical="center"/>
    </xf>
    <xf numFmtId="0" fontId="13" fillId="3" borderId="111" xfId="0" applyFont="1" applyFill="1" applyBorder="1" applyAlignment="1" applyProtection="1">
      <alignment vertical="center" wrapText="1"/>
      <protection locked="0"/>
    </xf>
    <xf numFmtId="0" fontId="17" fillId="9" borderId="104" xfId="0" applyNumberFormat="1" applyFont="1" applyFill="1" applyBorder="1" applyAlignment="1" applyProtection="1">
      <alignment horizontal="left" vertical="center"/>
      <protection locked="0"/>
    </xf>
    <xf numFmtId="0" fontId="17" fillId="10" borderId="81" xfId="0" applyNumberFormat="1" applyFont="1" applyFill="1" applyBorder="1" applyAlignment="1" applyProtection="1">
      <alignment horizontal="left" vertical="center"/>
      <protection locked="0"/>
    </xf>
    <xf numFmtId="0" fontId="17" fillId="11" borderId="81" xfId="0" applyNumberFormat="1" applyFont="1" applyFill="1" applyBorder="1" applyAlignment="1" applyProtection="1">
      <alignment horizontal="left" vertical="center"/>
      <protection locked="0"/>
    </xf>
    <xf numFmtId="0" fontId="17" fillId="0" borderId="81" xfId="0" applyNumberFormat="1" applyFont="1" applyFill="1" applyBorder="1" applyAlignment="1" applyProtection="1">
      <alignment horizontal="left" vertical="center" wrapText="1"/>
      <protection locked="0"/>
    </xf>
    <xf numFmtId="0" fontId="17" fillId="0" borderId="81" xfId="0" applyNumberFormat="1" applyFont="1" applyFill="1" applyBorder="1" applyAlignment="1" applyProtection="1">
      <alignment horizontal="left" vertical="center"/>
      <protection locked="0"/>
    </xf>
    <xf numFmtId="0" fontId="13" fillId="0" borderId="79" xfId="0" applyNumberFormat="1" applyFont="1" applyBorder="1" applyAlignment="1" applyProtection="1">
      <alignment vertical="center" wrapText="1"/>
      <protection locked="0"/>
    </xf>
    <xf numFmtId="49" fontId="18" fillId="5" borderId="12" xfId="0" applyNumberFormat="1" applyFont="1" applyFill="1" applyBorder="1" applyAlignment="1" applyProtection="1">
      <alignment horizontal="center" vertical="center"/>
      <protection locked="0"/>
    </xf>
    <xf numFmtId="0" fontId="17" fillId="7" borderId="113" xfId="0" applyFont="1" applyFill="1" applyBorder="1" applyAlignment="1" applyProtection="1">
      <alignment vertical="center"/>
      <protection locked="0"/>
    </xf>
    <xf numFmtId="164" fontId="17" fillId="7" borderId="114" xfId="0" applyNumberFormat="1" applyFont="1" applyFill="1" applyBorder="1" applyAlignment="1" applyProtection="1">
      <alignment horizontal="right" vertical="center"/>
    </xf>
    <xf numFmtId="164" fontId="17" fillId="7" borderId="113" xfId="0" applyNumberFormat="1" applyFont="1" applyFill="1" applyBorder="1" applyAlignment="1" applyProtection="1">
      <alignment vertical="center"/>
      <protection locked="0"/>
    </xf>
    <xf numFmtId="49" fontId="18" fillId="5" borderId="12" xfId="0" applyNumberFormat="1" applyFont="1" applyFill="1" applyBorder="1" applyAlignment="1" applyProtection="1">
      <alignment vertical="center"/>
      <protection locked="0"/>
    </xf>
    <xf numFmtId="0" fontId="26" fillId="5" borderId="11" xfId="0" applyNumberFormat="1" applyFont="1" applyFill="1" applyBorder="1" applyAlignment="1" applyProtection="1">
      <alignment vertical="center" wrapText="1"/>
      <protection locked="0"/>
    </xf>
    <xf numFmtId="44" fontId="18" fillId="5" borderId="12" xfId="1" applyFont="1" applyFill="1" applyBorder="1" applyAlignment="1" applyProtection="1">
      <alignment vertical="center"/>
      <protection locked="0"/>
    </xf>
    <xf numFmtId="167" fontId="18" fillId="5" borderId="12" xfId="0" applyNumberFormat="1" applyFont="1" applyFill="1" applyBorder="1" applyAlignment="1" applyProtection="1">
      <alignment vertical="center"/>
      <protection locked="0"/>
    </xf>
    <xf numFmtId="49" fontId="18" fillId="5" borderId="12" xfId="0" applyNumberFormat="1" applyFont="1" applyFill="1" applyBorder="1" applyAlignment="1" applyProtection="1">
      <alignment horizontal="right" vertical="center"/>
      <protection locked="0"/>
    </xf>
    <xf numFmtId="0" fontId="28" fillId="0" borderId="0" xfId="0" applyFont="1">
      <alignment vertical="top" wrapText="1"/>
    </xf>
    <xf numFmtId="164" fontId="17" fillId="7" borderId="29" xfId="0" applyNumberFormat="1" applyFont="1" applyFill="1" applyBorder="1" applyAlignment="1" applyProtection="1">
      <alignment vertical="center"/>
      <protection locked="0"/>
    </xf>
    <xf numFmtId="164" fontId="21" fillId="7" borderId="117" xfId="0" applyNumberFormat="1" applyFont="1" applyFill="1" applyBorder="1" applyAlignment="1" applyProtection="1">
      <alignment vertical="center"/>
      <protection locked="0"/>
    </xf>
    <xf numFmtId="44" fontId="21" fillId="7" borderId="118" xfId="1" applyFont="1" applyFill="1" applyBorder="1" applyAlignment="1" applyProtection="1">
      <alignment horizontal="right" vertical="center"/>
    </xf>
    <xf numFmtId="44" fontId="21" fillId="7" borderId="43" xfId="1" applyFont="1" applyFill="1" applyBorder="1" applyAlignment="1" applyProtection="1">
      <alignment vertical="center"/>
      <protection locked="0"/>
    </xf>
    <xf numFmtId="164" fontId="21" fillId="7" borderId="44" xfId="0" applyNumberFormat="1" applyFont="1" applyFill="1" applyBorder="1" applyAlignment="1" applyProtection="1">
      <alignment horizontal="right" vertical="center"/>
    </xf>
    <xf numFmtId="0" fontId="28" fillId="7" borderId="40" xfId="0" applyFont="1" applyFill="1" applyBorder="1">
      <alignment vertical="top" wrapText="1"/>
    </xf>
    <xf numFmtId="0" fontId="28" fillId="7" borderId="22" xfId="0" applyFont="1" applyFill="1" applyBorder="1">
      <alignment vertical="top" wrapText="1"/>
    </xf>
    <xf numFmtId="0" fontId="28" fillId="7" borderId="42" xfId="0" applyFont="1" applyFill="1" applyBorder="1">
      <alignment vertical="top" wrapText="1"/>
    </xf>
    <xf numFmtId="0" fontId="28" fillId="7" borderId="18" xfId="0" applyFont="1" applyFill="1" applyBorder="1">
      <alignment vertical="top" wrapText="1"/>
    </xf>
    <xf numFmtId="0" fontId="17" fillId="7" borderId="117" xfId="0" applyFont="1" applyFill="1" applyBorder="1" applyAlignment="1" applyProtection="1">
      <alignment vertical="center"/>
      <protection locked="0"/>
    </xf>
    <xf numFmtId="164" fontId="17" fillId="7" borderId="118" xfId="0" applyNumberFormat="1" applyFont="1" applyFill="1" applyBorder="1" applyAlignment="1" applyProtection="1">
      <alignment horizontal="right" vertical="center"/>
    </xf>
    <xf numFmtId="49" fontId="21" fillId="7" borderId="93" xfId="0" applyNumberFormat="1" applyFont="1" applyFill="1" applyBorder="1" applyAlignment="1" applyProtection="1">
      <alignment horizontal="left" vertical="center"/>
      <protection locked="0"/>
    </xf>
    <xf numFmtId="0" fontId="17" fillId="8" borderId="81" xfId="0" applyNumberFormat="1" applyFont="1" applyFill="1" applyBorder="1" applyAlignment="1" applyProtection="1">
      <alignment horizontal="left" vertical="center"/>
      <protection locked="0"/>
    </xf>
    <xf numFmtId="49" fontId="17" fillId="8" borderId="10" xfId="0" applyNumberFormat="1" applyFont="1" applyFill="1" applyBorder="1" applyAlignment="1" applyProtection="1">
      <alignment horizontal="center" vertical="center"/>
      <protection locked="0"/>
    </xf>
    <xf numFmtId="49" fontId="17" fillId="8" borderId="8" xfId="0" applyNumberFormat="1" applyFont="1" applyFill="1" applyBorder="1" applyAlignment="1" applyProtection="1">
      <alignment vertical="center"/>
      <protection locked="0"/>
    </xf>
    <xf numFmtId="0" fontId="17" fillId="8" borderId="2" xfId="0" applyNumberFormat="1" applyFont="1" applyFill="1" applyBorder="1" applyAlignment="1" applyProtection="1">
      <alignment horizontal="center" vertical="center"/>
      <protection locked="0"/>
    </xf>
    <xf numFmtId="1" fontId="17" fillId="8" borderId="34" xfId="0" applyNumberFormat="1" applyFont="1" applyFill="1" applyBorder="1" applyAlignment="1" applyProtection="1">
      <alignment horizontal="center" vertical="center"/>
    </xf>
    <xf numFmtId="49" fontId="17" fillId="10" borderId="10" xfId="0" applyNumberFormat="1" applyFont="1" applyFill="1" applyBorder="1" applyAlignment="1" applyProtection="1">
      <alignment horizontal="center" vertical="center"/>
      <protection locked="0"/>
    </xf>
    <xf numFmtId="49" fontId="17" fillId="10" borderId="8" xfId="0" applyNumberFormat="1" applyFont="1" applyFill="1" applyBorder="1" applyAlignment="1" applyProtection="1">
      <alignment vertical="center"/>
      <protection locked="0"/>
    </xf>
    <xf numFmtId="44" fontId="17" fillId="21" borderId="105" xfId="1" applyFont="1" applyFill="1" applyBorder="1" applyAlignment="1" applyProtection="1">
      <alignment horizontal="center" vertical="center"/>
      <protection locked="0"/>
    </xf>
    <xf numFmtId="165" fontId="17" fillId="21" borderId="106" xfId="0" applyNumberFormat="1" applyFont="1" applyFill="1" applyBorder="1" applyAlignment="1" applyProtection="1">
      <alignment horizontal="center" vertical="center"/>
      <protection locked="0"/>
    </xf>
    <xf numFmtId="44" fontId="20" fillId="21" borderId="107" xfId="1" applyFont="1" applyFill="1" applyBorder="1" applyAlignment="1" applyProtection="1">
      <alignment horizontal="center" vertical="center"/>
    </xf>
    <xf numFmtId="3" fontId="17" fillId="21" borderId="108" xfId="0" applyNumberFormat="1" applyFont="1" applyFill="1" applyBorder="1" applyAlignment="1" applyProtection="1">
      <alignment horizontal="center" vertical="center"/>
      <protection locked="0"/>
    </xf>
    <xf numFmtId="166" fontId="17" fillId="21" borderId="106" xfId="0" applyNumberFormat="1" applyFont="1" applyFill="1" applyBorder="1" applyAlignment="1" applyProtection="1">
      <alignment horizontal="right" vertical="center"/>
    </xf>
    <xf numFmtId="44" fontId="17" fillId="21" borderId="22" xfId="1" applyFont="1" applyFill="1" applyBorder="1" applyAlignment="1" applyProtection="1">
      <alignment horizontal="right" vertical="center"/>
      <protection locked="0"/>
    </xf>
    <xf numFmtId="1" fontId="17" fillId="9" borderId="48" xfId="0" applyNumberFormat="1" applyFont="1" applyFill="1" applyBorder="1" applyAlignment="1" applyProtection="1">
      <alignment horizontal="center" vertical="center"/>
      <protection locked="0"/>
    </xf>
    <xf numFmtId="1" fontId="17" fillId="10" borderId="8" xfId="0" applyNumberFormat="1" applyFont="1" applyFill="1" applyBorder="1" applyAlignment="1" applyProtection="1">
      <alignment horizontal="center" vertical="center"/>
      <protection locked="0"/>
    </xf>
    <xf numFmtId="1" fontId="17" fillId="11" borderId="8" xfId="0" applyNumberFormat="1" applyFont="1" applyFill="1" applyBorder="1" applyAlignment="1" applyProtection="1">
      <alignment horizontal="center" vertical="center"/>
      <protection locked="0"/>
    </xf>
    <xf numFmtId="1" fontId="17" fillId="8" borderId="8" xfId="0" applyNumberFormat="1" applyFont="1" applyFill="1" applyBorder="1" applyAlignment="1" applyProtection="1">
      <alignment horizontal="center" vertical="center"/>
      <protection locked="0"/>
    </xf>
    <xf numFmtId="1" fontId="17" fillId="0" borderId="8" xfId="0" applyNumberFormat="1" applyFont="1" applyFill="1" applyBorder="1" applyAlignment="1" applyProtection="1">
      <alignment horizontal="center" vertical="center"/>
      <protection locked="0"/>
    </xf>
    <xf numFmtId="1" fontId="17" fillId="0" borderId="52" xfId="0" applyNumberFormat="1" applyFont="1" applyFill="1" applyBorder="1" applyAlignment="1" applyProtection="1">
      <alignment horizontal="center" vertical="center"/>
      <protection locked="0"/>
    </xf>
    <xf numFmtId="0" fontId="13" fillId="0" borderId="0" xfId="0" applyFont="1" applyAlignment="1">
      <alignment vertical="top"/>
    </xf>
    <xf numFmtId="1" fontId="17" fillId="4" borderId="31" xfId="0" applyNumberFormat="1" applyFont="1" applyFill="1" applyBorder="1" applyAlignment="1" applyProtection="1">
      <alignment horizontal="center" vertical="center"/>
      <protection locked="0"/>
    </xf>
    <xf numFmtId="1" fontId="17" fillId="4" borderId="72" xfId="0" applyNumberFormat="1" applyFont="1" applyFill="1" applyBorder="1" applyAlignment="1" applyProtection="1">
      <alignment horizontal="center" vertical="center"/>
      <protection locked="0"/>
    </xf>
    <xf numFmtId="1" fontId="17" fillId="4" borderId="2" xfId="0" applyNumberFormat="1" applyFont="1" applyFill="1" applyBorder="1" applyAlignment="1" applyProtection="1">
      <alignment horizontal="center" vertical="center"/>
      <protection locked="0"/>
    </xf>
    <xf numFmtId="49" fontId="21" fillId="7" borderId="119" xfId="0" applyNumberFormat="1" applyFont="1" applyFill="1" applyBorder="1" applyAlignment="1" applyProtection="1">
      <alignment horizontal="left" vertical="center"/>
      <protection locked="0"/>
    </xf>
    <xf numFmtId="44" fontId="17" fillId="0" borderId="0" xfId="1" applyFont="1" applyFill="1" applyBorder="1" applyAlignment="1" applyProtection="1">
      <alignment horizontal="right" vertical="center"/>
      <protection locked="0"/>
    </xf>
    <xf numFmtId="44" fontId="20" fillId="7" borderId="122" xfId="1" applyFont="1" applyFill="1" applyBorder="1" applyAlignment="1" applyProtection="1">
      <alignment horizontal="center" vertical="center"/>
    </xf>
    <xf numFmtId="49" fontId="21" fillId="7" borderId="71" xfId="0" applyNumberFormat="1" applyFont="1" applyFill="1" applyBorder="1" applyAlignment="1" applyProtection="1">
      <alignment horizontal="center" vertical="center"/>
      <protection locked="0"/>
    </xf>
    <xf numFmtId="167" fontId="20" fillId="7" borderId="15" xfId="0" applyNumberFormat="1" applyFont="1" applyFill="1" applyBorder="1" applyAlignment="1" applyProtection="1">
      <alignment horizontal="center" vertical="center"/>
      <protection locked="0"/>
    </xf>
    <xf numFmtId="167" fontId="20" fillId="7" borderId="56" xfId="0" applyNumberFormat="1" applyFont="1" applyFill="1" applyBorder="1" applyAlignment="1" applyProtection="1">
      <alignment horizontal="center" vertical="center"/>
      <protection locked="0"/>
    </xf>
    <xf numFmtId="49" fontId="20" fillId="7" borderId="56" xfId="0" applyNumberFormat="1" applyFont="1" applyFill="1" applyBorder="1" applyAlignment="1" applyProtection="1">
      <alignment horizontal="center" vertical="center"/>
      <protection locked="0"/>
    </xf>
    <xf numFmtId="44" fontId="20" fillId="7" borderId="125" xfId="1" applyFont="1" applyFill="1" applyBorder="1" applyAlignment="1" applyProtection="1">
      <alignment horizontal="center" vertical="center"/>
      <protection locked="0"/>
    </xf>
    <xf numFmtId="44" fontId="20" fillId="7" borderId="126" xfId="1" applyFont="1" applyFill="1" applyBorder="1" applyAlignment="1" applyProtection="1">
      <alignment horizontal="center" vertical="center"/>
      <protection locked="0"/>
    </xf>
    <xf numFmtId="166" fontId="17" fillId="7" borderId="127" xfId="0" applyNumberFormat="1" applyFont="1" applyFill="1" applyBorder="1" applyAlignment="1" applyProtection="1">
      <alignment horizontal="right" vertical="center"/>
    </xf>
    <xf numFmtId="3" fontId="17" fillId="0" borderId="128" xfId="0" applyNumberFormat="1" applyFont="1" applyFill="1" applyBorder="1" applyAlignment="1" applyProtection="1">
      <alignment horizontal="center" vertical="center"/>
      <protection locked="0"/>
    </xf>
    <xf numFmtId="44" fontId="20" fillId="7" borderId="107" xfId="1" applyFont="1" applyFill="1" applyBorder="1" applyAlignment="1" applyProtection="1">
      <alignment horizontal="center" vertical="center"/>
    </xf>
    <xf numFmtId="165" fontId="17" fillId="0" borderId="106" xfId="0" applyNumberFormat="1" applyFont="1" applyFill="1" applyBorder="1" applyAlignment="1" applyProtection="1">
      <alignment horizontal="center" vertical="center"/>
      <protection locked="0"/>
    </xf>
    <xf numFmtId="44" fontId="17" fillId="0" borderId="105" xfId="1" applyFont="1" applyFill="1" applyBorder="1" applyAlignment="1" applyProtection="1">
      <alignment horizontal="center" vertical="center"/>
      <protection locked="0"/>
    </xf>
    <xf numFmtId="164" fontId="17" fillId="21" borderId="109" xfId="0" applyNumberFormat="1" applyFont="1" applyFill="1" applyBorder="1" applyAlignment="1" applyProtection="1">
      <alignment horizontal="right" vertical="center"/>
    </xf>
    <xf numFmtId="0" fontId="13" fillId="0" borderId="0" xfId="0" applyFont="1" applyFill="1" applyBorder="1" applyAlignment="1" applyProtection="1">
      <alignment vertical="center" wrapText="1"/>
      <protection locked="0"/>
    </xf>
    <xf numFmtId="1" fontId="17" fillId="9" borderId="109" xfId="0" applyNumberFormat="1" applyFont="1" applyFill="1" applyBorder="1" applyAlignment="1" applyProtection="1">
      <alignment horizontal="center" vertical="center"/>
    </xf>
    <xf numFmtId="0" fontId="17" fillId="9" borderId="108" xfId="0" applyNumberFormat="1" applyFont="1" applyFill="1" applyBorder="1" applyAlignment="1" applyProtection="1">
      <alignment horizontal="center" vertical="center"/>
      <protection locked="0"/>
    </xf>
    <xf numFmtId="44" fontId="21" fillId="7" borderId="129" xfId="1" applyFont="1" applyFill="1" applyBorder="1" applyAlignment="1" applyProtection="1">
      <alignment horizontal="right" vertical="center"/>
    </xf>
    <xf numFmtId="164" fontId="21" fillId="7" borderId="96" xfId="0" applyNumberFormat="1" applyFont="1" applyFill="1" applyBorder="1" applyAlignment="1" applyProtection="1">
      <alignment vertical="center"/>
      <protection locked="0"/>
    </xf>
    <xf numFmtId="164" fontId="17" fillId="7" borderId="129" xfId="0" applyNumberFormat="1" applyFont="1" applyFill="1" applyBorder="1" applyAlignment="1" applyProtection="1">
      <alignment horizontal="right" vertical="center"/>
    </xf>
    <xf numFmtId="0" fontId="17" fillId="7" borderId="96" xfId="0" applyFont="1" applyFill="1" applyBorder="1" applyAlignment="1" applyProtection="1">
      <alignment vertical="center"/>
      <protection locked="0"/>
    </xf>
    <xf numFmtId="166" fontId="17" fillId="7" borderId="106" xfId="0" applyNumberFormat="1" applyFont="1" applyFill="1" applyBorder="1" applyAlignment="1" applyProtection="1">
      <alignment horizontal="right" vertical="center"/>
    </xf>
    <xf numFmtId="3" fontId="17" fillId="0" borderId="108" xfId="0" applyNumberFormat="1" applyFont="1" applyFill="1" applyBorder="1" applyAlignment="1" applyProtection="1">
      <alignment horizontal="center" vertical="center"/>
      <protection locked="0"/>
    </xf>
    <xf numFmtId="0" fontId="30" fillId="0" borderId="0" xfId="0" applyNumberFormat="1" applyFont="1" applyAlignment="1" applyProtection="1">
      <alignment vertical="center" wrapText="1"/>
      <protection locked="0"/>
    </xf>
    <xf numFmtId="0" fontId="31" fillId="4" borderId="0" xfId="0" applyFont="1" applyFill="1" applyBorder="1" applyAlignment="1" applyProtection="1">
      <alignment horizontal="left" vertical="center"/>
      <protection locked="0"/>
    </xf>
    <xf numFmtId="168" fontId="31" fillId="4" borderId="0" xfId="0" applyNumberFormat="1" applyFont="1" applyFill="1" applyBorder="1" applyAlignment="1" applyProtection="1">
      <alignment horizontal="left" vertical="center"/>
      <protection locked="0"/>
    </xf>
    <xf numFmtId="44" fontId="31" fillId="4" borderId="0" xfId="1" applyFont="1" applyFill="1" applyBorder="1" applyAlignment="1" applyProtection="1">
      <alignment horizontal="center" vertical="center"/>
      <protection locked="0"/>
    </xf>
    <xf numFmtId="0" fontId="31" fillId="4" borderId="0" xfId="0" applyFont="1" applyFill="1" applyBorder="1" applyAlignment="1" applyProtection="1">
      <alignment horizontal="center" vertical="center"/>
      <protection locked="0"/>
    </xf>
    <xf numFmtId="167" fontId="31" fillId="4" borderId="0" xfId="0" applyNumberFormat="1" applyFont="1" applyFill="1" applyBorder="1" applyAlignment="1" applyProtection="1">
      <alignment vertical="center"/>
      <protection locked="0"/>
    </xf>
    <xf numFmtId="164" fontId="31" fillId="4" borderId="0" xfId="0" applyNumberFormat="1" applyFont="1" applyFill="1" applyBorder="1" applyAlignment="1" applyProtection="1">
      <alignment vertical="center"/>
      <protection locked="0"/>
    </xf>
    <xf numFmtId="0" fontId="31" fillId="4" borderId="6" xfId="0" applyFont="1" applyFill="1" applyBorder="1" applyAlignment="1" applyProtection="1">
      <alignment horizontal="left" vertical="center"/>
      <protection locked="0"/>
    </xf>
    <xf numFmtId="0" fontId="31" fillId="4" borderId="6" xfId="0" applyFont="1" applyFill="1" applyBorder="1" applyAlignment="1" applyProtection="1">
      <alignment horizontal="center" vertical="center"/>
      <protection locked="0"/>
    </xf>
    <xf numFmtId="0" fontId="30" fillId="0" borderId="57" xfId="0" applyNumberFormat="1" applyFont="1" applyBorder="1" applyAlignment="1" applyProtection="1">
      <alignment vertical="center" wrapText="1"/>
      <protection locked="0"/>
    </xf>
    <xf numFmtId="164" fontId="31" fillId="3" borderId="130" xfId="0" applyNumberFormat="1" applyFont="1" applyFill="1" applyBorder="1" applyAlignment="1" applyProtection="1">
      <alignment horizontal="right" vertical="center"/>
      <protection locked="0"/>
    </xf>
    <xf numFmtId="0" fontId="30" fillId="0" borderId="58" xfId="0" applyNumberFormat="1" applyFont="1" applyBorder="1" applyAlignment="1" applyProtection="1">
      <alignment vertical="center" wrapText="1"/>
      <protection locked="0"/>
    </xf>
    <xf numFmtId="164" fontId="31" fillId="3" borderId="3" xfId="0" applyNumberFormat="1" applyFont="1" applyFill="1" applyBorder="1" applyAlignment="1" applyProtection="1">
      <alignment horizontal="right" vertical="center"/>
      <protection locked="0"/>
    </xf>
    <xf numFmtId="0" fontId="30" fillId="0" borderId="59" xfId="0" applyNumberFormat="1" applyFont="1" applyBorder="1" applyAlignment="1" applyProtection="1">
      <alignment vertical="center" wrapText="1"/>
      <protection locked="0"/>
    </xf>
    <xf numFmtId="164" fontId="31" fillId="3" borderId="5" xfId="0" applyNumberFormat="1" applyFont="1" applyFill="1" applyBorder="1" applyAlignment="1" applyProtection="1">
      <alignment horizontal="right" vertical="center"/>
      <protection locked="0"/>
    </xf>
    <xf numFmtId="49" fontId="32" fillId="8" borderId="131" xfId="0" applyNumberFormat="1" applyFont="1" applyFill="1" applyBorder="1" applyAlignment="1" applyProtection="1">
      <alignment horizontal="center" vertical="center"/>
      <protection locked="0"/>
    </xf>
    <xf numFmtId="49" fontId="32" fillId="7" borderId="132" xfId="0" applyNumberFormat="1" applyFont="1" applyFill="1" applyBorder="1" applyAlignment="1" applyProtection="1">
      <alignment vertical="center"/>
      <protection locked="0"/>
    </xf>
    <xf numFmtId="167" fontId="32" fillId="7" borderId="133" xfId="0" applyNumberFormat="1" applyFont="1" applyFill="1" applyBorder="1" applyAlignment="1" applyProtection="1">
      <alignment vertical="center"/>
      <protection locked="0"/>
    </xf>
    <xf numFmtId="49" fontId="32" fillId="2" borderId="132" xfId="0" applyNumberFormat="1" applyFont="1" applyFill="1" applyBorder="1" applyAlignment="1" applyProtection="1">
      <alignment horizontal="right" vertical="center"/>
      <protection locked="0"/>
    </xf>
    <xf numFmtId="164" fontId="33" fillId="2" borderId="133" xfId="0" applyNumberFormat="1" applyFont="1" applyFill="1" applyBorder="1" applyAlignment="1" applyProtection="1">
      <alignment horizontal="right" vertical="center"/>
    </xf>
    <xf numFmtId="168" fontId="31" fillId="4" borderId="6" xfId="0" applyNumberFormat="1" applyFont="1" applyFill="1" applyBorder="1" applyAlignment="1" applyProtection="1">
      <alignment horizontal="left" vertical="center"/>
      <protection locked="0"/>
    </xf>
    <xf numFmtId="44" fontId="31" fillId="4" borderId="6" xfId="1" applyFont="1" applyFill="1" applyBorder="1" applyAlignment="1" applyProtection="1">
      <alignment horizontal="center" vertical="center"/>
      <protection locked="0"/>
    </xf>
    <xf numFmtId="167" fontId="31" fillId="4" borderId="6" xfId="0" applyNumberFormat="1" applyFont="1" applyFill="1" applyBorder="1" applyAlignment="1" applyProtection="1">
      <alignment vertical="center"/>
      <protection locked="0"/>
    </xf>
    <xf numFmtId="0" fontId="31" fillId="4" borderId="17" xfId="0" applyFont="1" applyFill="1" applyBorder="1" applyAlignment="1" applyProtection="1">
      <alignment horizontal="left" vertical="center"/>
      <protection locked="0"/>
    </xf>
    <xf numFmtId="164" fontId="31" fillId="4" borderId="17" xfId="0" applyNumberFormat="1" applyFont="1" applyFill="1" applyBorder="1" applyAlignment="1" applyProtection="1">
      <alignment vertical="center"/>
      <protection locked="0"/>
    </xf>
    <xf numFmtId="49" fontId="32" fillId="0" borderId="131" xfId="0" applyNumberFormat="1" applyFont="1" applyFill="1" applyBorder="1" applyAlignment="1" applyProtection="1">
      <alignment vertical="center"/>
      <protection locked="0"/>
    </xf>
    <xf numFmtId="49" fontId="32" fillId="8" borderId="131" xfId="0" applyNumberFormat="1" applyFont="1" applyFill="1" applyBorder="1" applyAlignment="1" applyProtection="1">
      <alignment vertical="center"/>
      <protection locked="0"/>
    </xf>
    <xf numFmtId="44" fontId="32" fillId="8" borderId="131" xfId="1" applyFont="1" applyFill="1" applyBorder="1" applyAlignment="1" applyProtection="1">
      <alignment vertical="center"/>
      <protection locked="0"/>
    </xf>
    <xf numFmtId="49" fontId="32" fillId="7" borderId="11" xfId="0" applyNumberFormat="1" applyFont="1" applyFill="1" applyBorder="1" applyAlignment="1" applyProtection="1">
      <alignment vertical="center"/>
      <protection locked="0"/>
    </xf>
    <xf numFmtId="167" fontId="32" fillId="7" borderId="16" xfId="0" applyNumberFormat="1" applyFont="1" applyFill="1" applyBorder="1" applyAlignment="1" applyProtection="1">
      <alignment vertical="center"/>
      <protection locked="0"/>
    </xf>
    <xf numFmtId="49" fontId="32" fillId="7" borderId="27" xfId="0" applyNumberFormat="1" applyFont="1" applyFill="1" applyBorder="1" applyAlignment="1" applyProtection="1">
      <alignment horizontal="right" vertical="center"/>
      <protection locked="0"/>
    </xf>
    <xf numFmtId="164" fontId="33" fillId="2" borderId="13" xfId="0" applyNumberFormat="1" applyFont="1" applyFill="1" applyBorder="1" applyAlignment="1" applyProtection="1">
      <alignment horizontal="right" vertical="center"/>
    </xf>
    <xf numFmtId="49" fontId="32" fillId="0" borderId="0" xfId="0" applyNumberFormat="1" applyFont="1" applyFill="1" applyBorder="1" applyAlignment="1" applyProtection="1">
      <alignment vertical="center"/>
      <protection locked="0"/>
    </xf>
    <xf numFmtId="49" fontId="32" fillId="8" borderId="0" xfId="0" applyNumberFormat="1" applyFont="1" applyFill="1" applyBorder="1" applyAlignment="1" applyProtection="1">
      <alignment vertical="center"/>
      <protection locked="0"/>
    </xf>
    <xf numFmtId="44" fontId="32" fillId="8" borderId="0" xfId="1" applyFont="1" applyFill="1" applyBorder="1" applyAlignment="1" applyProtection="1">
      <alignment vertical="center"/>
      <protection locked="0"/>
    </xf>
    <xf numFmtId="49" fontId="32" fillId="8" borderId="0" xfId="0" applyNumberFormat="1" applyFont="1" applyFill="1" applyBorder="1" applyAlignment="1" applyProtection="1">
      <alignment horizontal="center" vertical="center"/>
      <protection locked="0"/>
    </xf>
    <xf numFmtId="167" fontId="32" fillId="0" borderId="0" xfId="0" applyNumberFormat="1" applyFont="1" applyFill="1" applyBorder="1" applyAlignment="1" applyProtection="1">
      <alignment vertical="center"/>
      <protection locked="0"/>
    </xf>
    <xf numFmtId="49" fontId="32" fillId="0" borderId="0" xfId="0" applyNumberFormat="1" applyFont="1" applyFill="1" applyBorder="1" applyAlignment="1" applyProtection="1">
      <alignment horizontal="right" vertical="center"/>
      <protection locked="0"/>
    </xf>
    <xf numFmtId="164" fontId="33" fillId="0" borderId="0" xfId="0" applyNumberFormat="1" applyFont="1" applyFill="1" applyBorder="1" applyAlignment="1" applyProtection="1">
      <alignment horizontal="right" vertical="center"/>
      <protection locked="0"/>
    </xf>
    <xf numFmtId="0" fontId="30" fillId="0" borderId="62" xfId="0" applyNumberFormat="1" applyFont="1" applyBorder="1" applyAlignment="1" applyProtection="1">
      <alignment vertical="center" wrapText="1"/>
      <protection locked="0"/>
    </xf>
    <xf numFmtId="0" fontId="30" fillId="0" borderId="60" xfId="0" applyNumberFormat="1" applyFont="1" applyBorder="1" applyAlignment="1" applyProtection="1">
      <alignment vertical="center" wrapText="1"/>
      <protection locked="0"/>
    </xf>
    <xf numFmtId="49" fontId="31" fillId="4" borderId="134" xfId="0" applyNumberFormat="1" applyFont="1" applyFill="1" applyBorder="1" applyAlignment="1" applyProtection="1">
      <alignment vertical="center"/>
      <protection locked="0"/>
    </xf>
    <xf numFmtId="49" fontId="35" fillId="4" borderId="135" xfId="0" applyNumberFormat="1" applyFont="1" applyFill="1" applyBorder="1" applyAlignment="1" applyProtection="1">
      <alignment horizontal="left" vertical="center"/>
      <protection locked="0"/>
    </xf>
    <xf numFmtId="164" fontId="31" fillId="3" borderId="139" xfId="0" applyNumberFormat="1" applyFont="1" applyFill="1" applyBorder="1" applyAlignment="1" applyProtection="1">
      <alignment horizontal="right" vertical="center"/>
      <protection locked="0"/>
    </xf>
    <xf numFmtId="44" fontId="31" fillId="3" borderId="0" xfId="1" applyFont="1" applyFill="1" applyBorder="1" applyAlignment="1" applyProtection="1">
      <alignment horizontal="left" vertical="center"/>
      <protection locked="0"/>
    </xf>
    <xf numFmtId="0" fontId="31" fillId="3" borderId="0" xfId="0" applyFont="1" applyFill="1" applyBorder="1" applyAlignment="1" applyProtection="1">
      <alignment horizontal="left" vertical="center"/>
      <protection locked="0"/>
    </xf>
    <xf numFmtId="167" fontId="31" fillId="4" borderId="0" xfId="0" applyNumberFormat="1" applyFont="1" applyFill="1" applyBorder="1" applyAlignment="1" applyProtection="1">
      <alignment horizontal="left" vertical="center"/>
      <protection locked="0"/>
    </xf>
    <xf numFmtId="49" fontId="32" fillId="3" borderId="131" xfId="0" applyNumberFormat="1" applyFont="1" applyFill="1" applyBorder="1" applyAlignment="1" applyProtection="1">
      <alignment horizontal="center" vertical="center"/>
      <protection locked="0"/>
    </xf>
    <xf numFmtId="164" fontId="32" fillId="3" borderId="131" xfId="0" applyNumberFormat="1" applyFont="1" applyFill="1" applyBorder="1" applyAlignment="1" applyProtection="1">
      <alignment horizontal="right" vertical="center"/>
      <protection locked="0"/>
    </xf>
    <xf numFmtId="0" fontId="31" fillId="4" borderId="0" xfId="0" applyFont="1" applyFill="1" applyBorder="1" applyAlignment="1" applyProtection="1">
      <alignment vertical="center"/>
      <protection locked="0"/>
    </xf>
    <xf numFmtId="44" fontId="32" fillId="3" borderId="0" xfId="1" applyFont="1" applyFill="1" applyBorder="1" applyAlignment="1" applyProtection="1">
      <alignment vertical="center"/>
      <protection locked="0"/>
    </xf>
    <xf numFmtId="49" fontId="32" fillId="2" borderId="11" xfId="0" applyNumberFormat="1" applyFont="1" applyFill="1" applyBorder="1" applyAlignment="1" applyProtection="1">
      <alignment horizontal="right" vertical="center"/>
      <protection locked="0"/>
    </xf>
    <xf numFmtId="167" fontId="32" fillId="2" borderId="12" xfId="0" applyNumberFormat="1" applyFont="1" applyFill="1" applyBorder="1" applyAlignment="1" applyProtection="1">
      <alignment horizontal="right" vertical="center"/>
      <protection locked="0"/>
    </xf>
    <xf numFmtId="49" fontId="32" fillId="2" borderId="27" xfId="0" applyNumberFormat="1" applyFont="1" applyFill="1" applyBorder="1" applyAlignment="1" applyProtection="1">
      <alignment horizontal="right" vertical="center"/>
      <protection locked="0"/>
    </xf>
    <xf numFmtId="44" fontId="30" fillId="3" borderId="0" xfId="1" applyFont="1" applyFill="1" applyBorder="1" applyAlignment="1" applyProtection="1">
      <alignment vertical="center" wrapText="1"/>
      <protection locked="0"/>
    </xf>
    <xf numFmtId="0" fontId="30" fillId="3" borderId="0" xfId="0" applyFont="1" applyFill="1" applyBorder="1" applyAlignment="1" applyProtection="1">
      <alignment horizontal="center" vertical="center" wrapText="1"/>
      <protection locked="0"/>
    </xf>
    <xf numFmtId="0" fontId="30" fillId="3" borderId="0" xfId="0" applyFont="1" applyFill="1" applyBorder="1" applyAlignment="1" applyProtection="1">
      <alignment vertical="center" wrapText="1"/>
      <protection locked="0"/>
    </xf>
    <xf numFmtId="167" fontId="30" fillId="3" borderId="0" xfId="0" applyNumberFormat="1" applyFont="1" applyFill="1" applyBorder="1" applyAlignment="1" applyProtection="1">
      <alignment vertical="center" wrapText="1"/>
      <protection locked="0"/>
    </xf>
    <xf numFmtId="0" fontId="31" fillId="5" borderId="12" xfId="0" applyFont="1" applyFill="1" applyBorder="1" applyAlignment="1" applyProtection="1">
      <alignment horizontal="left" vertical="center"/>
      <protection locked="0"/>
    </xf>
    <xf numFmtId="44" fontId="36" fillId="5" borderId="12" xfId="1" applyFont="1" applyFill="1" applyBorder="1" applyAlignment="1" applyProtection="1">
      <alignment vertical="center"/>
      <protection locked="0"/>
    </xf>
    <xf numFmtId="164" fontId="29" fillId="5" borderId="13" xfId="0" applyNumberFormat="1" applyFont="1" applyFill="1" applyBorder="1" applyAlignment="1" applyProtection="1">
      <alignment horizontal="right" vertical="center"/>
    </xf>
    <xf numFmtId="0" fontId="31" fillId="8" borderId="131" xfId="0" applyFont="1" applyFill="1" applyBorder="1" applyAlignment="1" applyProtection="1">
      <alignment horizontal="center" vertical="center"/>
      <protection locked="0"/>
    </xf>
    <xf numFmtId="168" fontId="31" fillId="4" borderId="141" xfId="0" applyNumberFormat="1" applyFont="1" applyFill="1" applyBorder="1" applyAlignment="1" applyProtection="1">
      <alignment horizontal="left" vertical="center"/>
      <protection locked="0"/>
    </xf>
    <xf numFmtId="168" fontId="31" fillId="4" borderId="142" xfId="0" applyNumberFormat="1" applyFont="1" applyFill="1" applyBorder="1" applyAlignment="1" applyProtection="1">
      <alignment horizontal="left" vertical="center"/>
      <protection locked="0"/>
    </xf>
    <xf numFmtId="168" fontId="31" fillId="4" borderId="143" xfId="0" applyNumberFormat="1" applyFont="1" applyFill="1" applyBorder="1" applyAlignment="1" applyProtection="1">
      <alignment horizontal="left" vertical="center"/>
      <protection locked="0"/>
    </xf>
    <xf numFmtId="49" fontId="31" fillId="4" borderId="141" xfId="0" applyNumberFormat="1" applyFont="1" applyFill="1" applyBorder="1" applyAlignment="1" applyProtection="1">
      <alignment vertical="center"/>
      <protection locked="0"/>
    </xf>
    <xf numFmtId="49" fontId="31" fillId="4" borderId="142" xfId="0" applyNumberFormat="1" applyFont="1" applyFill="1" applyBorder="1" applyAlignment="1" applyProtection="1">
      <alignment vertical="center"/>
      <protection locked="0"/>
    </xf>
    <xf numFmtId="49" fontId="31" fillId="4" borderId="143" xfId="0" applyNumberFormat="1" applyFont="1" applyFill="1" applyBorder="1" applyAlignment="1" applyProtection="1">
      <alignment vertical="center"/>
      <protection locked="0"/>
    </xf>
    <xf numFmtId="49" fontId="32" fillId="0" borderId="0" xfId="0" applyNumberFormat="1" applyFont="1" applyFill="1" applyBorder="1" applyAlignment="1" applyProtection="1">
      <alignment horizontal="center" vertical="center"/>
      <protection locked="0"/>
    </xf>
    <xf numFmtId="0" fontId="18" fillId="3" borderId="0" xfId="0" applyFont="1" applyFill="1" applyBorder="1" applyAlignment="1" applyProtection="1">
      <alignment vertical="center"/>
      <protection locked="0"/>
    </xf>
    <xf numFmtId="0" fontId="18" fillId="0" borderId="0" xfId="0" applyNumberFormat="1" applyFont="1" applyAlignment="1" applyProtection="1">
      <alignment vertical="center" wrapText="1"/>
      <protection locked="0"/>
    </xf>
    <xf numFmtId="0" fontId="18" fillId="3" borderId="0" xfId="0" applyFont="1" applyFill="1" applyBorder="1" applyAlignment="1" applyProtection="1">
      <alignment vertical="center" wrapText="1"/>
      <protection locked="0"/>
    </xf>
    <xf numFmtId="0" fontId="13" fillId="8" borderId="0" xfId="0" applyFont="1" applyFill="1">
      <alignment vertical="top" wrapText="1"/>
    </xf>
    <xf numFmtId="0" fontId="18" fillId="5" borderId="12" xfId="0" applyFont="1" applyFill="1" applyBorder="1" applyAlignment="1" applyProtection="1">
      <alignment horizontal="right" vertical="center"/>
      <protection locked="0"/>
    </xf>
    <xf numFmtId="0" fontId="18" fillId="5" borderId="12" xfId="0" applyNumberFormat="1" applyFont="1" applyFill="1" applyBorder="1" applyAlignment="1" applyProtection="1">
      <alignment vertical="center" wrapText="1"/>
      <protection locked="0"/>
    </xf>
    <xf numFmtId="0" fontId="18" fillId="5" borderId="12" xfId="0" applyFont="1" applyFill="1" applyBorder="1" applyAlignment="1" applyProtection="1">
      <alignment vertical="center"/>
      <protection locked="0"/>
    </xf>
    <xf numFmtId="164" fontId="18" fillId="5" borderId="13" xfId="0" applyNumberFormat="1" applyFont="1" applyFill="1" applyBorder="1" applyAlignment="1" applyProtection="1">
      <alignment vertical="center"/>
      <protection locked="0"/>
    </xf>
    <xf numFmtId="0" fontId="18" fillId="5" borderId="11" xfId="0" applyFont="1" applyFill="1" applyBorder="1" applyAlignment="1" applyProtection="1">
      <alignment vertical="center"/>
      <protection locked="0"/>
    </xf>
    <xf numFmtId="44" fontId="31" fillId="20" borderId="56" xfId="1" applyFont="1" applyFill="1" applyBorder="1" applyAlignment="1" applyProtection="1">
      <alignment horizontal="center" vertical="center"/>
      <protection locked="0"/>
    </xf>
    <xf numFmtId="0" fontId="21" fillId="7" borderId="11" xfId="3" applyNumberFormat="1" applyFont="1" applyFill="1" applyBorder="1" applyAlignment="1" applyProtection="1">
      <alignment horizontal="center" vertical="center" wrapText="1"/>
      <protection locked="0"/>
    </xf>
    <xf numFmtId="167" fontId="24" fillId="5" borderId="13" xfId="3" applyNumberFormat="1" applyFont="1" applyFill="1" applyBorder="1" applyAlignment="1" applyProtection="1">
      <alignment horizontal="center" vertical="center" wrapText="1"/>
      <protection locked="0"/>
    </xf>
    <xf numFmtId="4" fontId="25" fillId="7" borderId="13" xfId="3" applyNumberFormat="1" applyFont="1" applyFill="1" applyBorder="1" applyAlignment="1" applyProtection="1">
      <alignment horizontal="center" vertical="center" wrapText="1"/>
      <protection locked="0"/>
    </xf>
    <xf numFmtId="0" fontId="13" fillId="3" borderId="0" xfId="3" applyFont="1" applyFill="1" applyBorder="1" applyAlignment="1" applyProtection="1">
      <alignment vertical="center" wrapText="1"/>
      <protection locked="0"/>
    </xf>
    <xf numFmtId="0" fontId="13" fillId="3" borderId="0" xfId="3" applyFont="1" applyFill="1" applyBorder="1" applyAlignment="1" applyProtection="1">
      <alignment vertical="center"/>
      <protection locked="0"/>
    </xf>
    <xf numFmtId="0" fontId="13" fillId="0" borderId="0" xfId="3" applyNumberFormat="1" applyFont="1" applyAlignment="1" applyProtection="1">
      <alignment vertical="center" wrapText="1"/>
      <protection locked="0"/>
    </xf>
    <xf numFmtId="0" fontId="18" fillId="5" borderId="11" xfId="3" applyFont="1" applyFill="1" applyBorder="1" applyAlignment="1" applyProtection="1">
      <alignment vertical="center"/>
      <protection locked="0"/>
    </xf>
    <xf numFmtId="0" fontId="18" fillId="5" borderId="12" xfId="3" applyFont="1" applyFill="1" applyBorder="1" applyAlignment="1" applyProtection="1">
      <alignment horizontal="right" vertical="center"/>
      <protection locked="0"/>
    </xf>
    <xf numFmtId="44" fontId="18" fillId="5" borderId="12" xfId="4" applyFont="1" applyFill="1" applyBorder="1" applyAlignment="1" applyProtection="1">
      <alignment vertical="center"/>
      <protection locked="0"/>
    </xf>
    <xf numFmtId="0" fontId="18" fillId="5" borderId="12" xfId="3" applyNumberFormat="1" applyFont="1" applyFill="1" applyBorder="1" applyAlignment="1" applyProtection="1">
      <alignment vertical="center" wrapText="1"/>
      <protection locked="0"/>
    </xf>
    <xf numFmtId="0" fontId="18" fillId="5" borderId="12" xfId="3" applyFont="1" applyFill="1" applyBorder="1" applyAlignment="1" applyProtection="1">
      <alignment vertical="center"/>
      <protection locked="0"/>
    </xf>
    <xf numFmtId="164" fontId="18" fillId="5" borderId="13" xfId="3" applyNumberFormat="1" applyFont="1" applyFill="1" applyBorder="1" applyAlignment="1" applyProtection="1">
      <alignment vertical="center"/>
      <protection locked="0"/>
    </xf>
    <xf numFmtId="0" fontId="18" fillId="3" borderId="0" xfId="3" applyFont="1" applyFill="1" applyBorder="1" applyAlignment="1" applyProtection="1">
      <alignment vertical="center"/>
      <protection locked="0"/>
    </xf>
    <xf numFmtId="0" fontId="18" fillId="3" borderId="0" xfId="3" applyFont="1" applyFill="1" applyBorder="1" applyAlignment="1" applyProtection="1">
      <alignment vertical="center" wrapText="1"/>
      <protection locked="0"/>
    </xf>
    <xf numFmtId="0" fontId="18" fillId="0" borderId="0" xfId="3" applyNumberFormat="1" applyFont="1" applyAlignment="1" applyProtection="1">
      <alignment vertical="center" wrapText="1"/>
      <protection locked="0"/>
    </xf>
    <xf numFmtId="0" fontId="13" fillId="8" borderId="0" xfId="3" applyFont="1" applyFill="1">
      <alignment vertical="top" wrapText="1"/>
    </xf>
    <xf numFmtId="0" fontId="13" fillId="0" borderId="0" xfId="3" applyFont="1">
      <alignment vertical="top" wrapText="1"/>
    </xf>
    <xf numFmtId="0" fontId="13" fillId="0" borderId="0" xfId="3" applyFont="1" applyAlignment="1">
      <alignment vertical="top"/>
    </xf>
    <xf numFmtId="0" fontId="15" fillId="4" borderId="0" xfId="3" applyFont="1" applyFill="1" applyBorder="1" applyAlignment="1" applyProtection="1">
      <alignment vertical="center"/>
      <protection locked="0"/>
    </xf>
    <xf numFmtId="0" fontId="16" fillId="4" borderId="0" xfId="3" applyFont="1" applyFill="1" applyBorder="1" applyAlignment="1" applyProtection="1">
      <alignment horizontal="left" vertical="center"/>
      <protection locked="0"/>
    </xf>
    <xf numFmtId="44" fontId="17" fillId="4" borderId="0" xfId="4" applyFont="1" applyFill="1" applyBorder="1" applyAlignment="1" applyProtection="1">
      <alignment horizontal="center" vertical="center"/>
      <protection locked="0"/>
    </xf>
    <xf numFmtId="0" fontId="17" fillId="4" borderId="0" xfId="3" applyFont="1" applyFill="1" applyBorder="1" applyAlignment="1" applyProtection="1">
      <alignment horizontal="center" vertical="center"/>
      <protection locked="0"/>
    </xf>
    <xf numFmtId="167" fontId="16" fillId="4" borderId="0" xfId="3" applyNumberFormat="1" applyFont="1" applyFill="1" applyBorder="1" applyAlignment="1" applyProtection="1">
      <alignment horizontal="center" vertical="center"/>
      <protection locked="0"/>
    </xf>
    <xf numFmtId="15" fontId="16" fillId="4" borderId="0" xfId="3" applyNumberFormat="1" applyFont="1" applyFill="1" applyBorder="1" applyAlignment="1" applyProtection="1">
      <alignment horizontal="center" vertical="center"/>
      <protection locked="0"/>
    </xf>
    <xf numFmtId="164" fontId="16" fillId="4" borderId="0" xfId="3" applyNumberFormat="1" applyFont="1" applyFill="1" applyBorder="1" applyAlignment="1" applyProtection="1">
      <alignment horizontal="center" vertical="center"/>
      <protection locked="0"/>
    </xf>
    <xf numFmtId="49" fontId="18" fillId="7" borderId="12" xfId="3" applyNumberFormat="1" applyFont="1" applyFill="1" applyBorder="1" applyAlignment="1" applyProtection="1">
      <alignment horizontal="center" vertical="center"/>
      <protection locked="0"/>
    </xf>
    <xf numFmtId="167" fontId="18" fillId="7" borderId="91" xfId="3" applyNumberFormat="1" applyFont="1" applyFill="1" applyBorder="1" applyAlignment="1" applyProtection="1">
      <alignment horizontal="center" vertical="center"/>
      <protection locked="0"/>
    </xf>
    <xf numFmtId="49" fontId="18" fillId="7" borderId="56" xfId="3" applyNumberFormat="1" applyFont="1" applyFill="1" applyBorder="1" applyAlignment="1" applyProtection="1">
      <alignment horizontal="center" vertical="center"/>
      <protection locked="0"/>
    </xf>
    <xf numFmtId="49" fontId="18" fillId="7" borderId="71" xfId="3" applyNumberFormat="1" applyFont="1" applyFill="1" applyBorder="1" applyAlignment="1" applyProtection="1">
      <alignment horizontal="center" vertical="center"/>
      <protection locked="0"/>
    </xf>
    <xf numFmtId="0" fontId="17" fillId="9" borderId="104" xfId="3" applyNumberFormat="1" applyFont="1" applyFill="1" applyBorder="1" applyAlignment="1" applyProtection="1">
      <alignment horizontal="left" vertical="center"/>
      <protection locked="0"/>
    </xf>
    <xf numFmtId="1" fontId="17" fillId="9" borderId="120" xfId="3" applyNumberFormat="1" applyFont="1" applyFill="1" applyBorder="1" applyAlignment="1" applyProtection="1">
      <alignment horizontal="center" vertical="center"/>
      <protection locked="0"/>
    </xf>
    <xf numFmtId="0" fontId="17" fillId="9" borderId="128" xfId="3" applyNumberFormat="1" applyFont="1" applyFill="1" applyBorder="1" applyAlignment="1" applyProtection="1">
      <alignment horizontal="center" vertical="center"/>
      <protection locked="0"/>
    </xf>
    <xf numFmtId="1" fontId="17" fillId="9" borderId="109" xfId="3" applyNumberFormat="1" applyFont="1" applyFill="1" applyBorder="1" applyAlignment="1" applyProtection="1">
      <alignment horizontal="center" vertical="center"/>
    </xf>
    <xf numFmtId="0" fontId="17" fillId="3" borderId="0" xfId="3" applyFont="1" applyFill="1" applyBorder="1" applyAlignment="1" applyProtection="1">
      <alignment horizontal="center" vertical="center"/>
      <protection locked="0"/>
    </xf>
    <xf numFmtId="0" fontId="19" fillId="9" borderId="0" xfId="3" applyFont="1" applyFill="1" applyBorder="1" applyAlignment="1" applyProtection="1">
      <alignment vertical="center"/>
      <protection locked="0"/>
    </xf>
    <xf numFmtId="0" fontId="19" fillId="9" borderId="0" xfId="3" applyFont="1" applyFill="1" applyBorder="1" applyAlignment="1" applyProtection="1">
      <alignment vertical="center" wrapText="1"/>
      <protection locked="0"/>
    </xf>
    <xf numFmtId="0" fontId="17" fillId="10" borderId="81" xfId="3" applyNumberFormat="1" applyFont="1" applyFill="1" applyBorder="1" applyAlignment="1" applyProtection="1">
      <alignment horizontal="left" vertical="center"/>
      <protection locked="0"/>
    </xf>
    <xf numFmtId="1" fontId="17" fillId="10" borderId="8" xfId="3" applyNumberFormat="1" applyFont="1" applyFill="1" applyBorder="1" applyAlignment="1" applyProtection="1">
      <alignment horizontal="center" vertical="center"/>
      <protection locked="0"/>
    </xf>
    <xf numFmtId="0" fontId="17" fillId="10" borderId="2" xfId="3" applyNumberFormat="1" applyFont="1" applyFill="1" applyBorder="1" applyAlignment="1" applyProtection="1">
      <alignment horizontal="center" vertical="center"/>
      <protection locked="0"/>
    </xf>
    <xf numFmtId="1" fontId="17" fillId="10" borderId="34" xfId="3" applyNumberFormat="1" applyFont="1" applyFill="1" applyBorder="1" applyAlignment="1" applyProtection="1">
      <alignment horizontal="center" vertical="center"/>
    </xf>
    <xf numFmtId="0" fontId="19" fillId="10" borderId="0" xfId="3" applyFont="1" applyFill="1" applyBorder="1" applyAlignment="1" applyProtection="1">
      <alignment vertical="center"/>
      <protection locked="0"/>
    </xf>
    <xf numFmtId="0" fontId="19" fillId="10" borderId="0" xfId="3" applyFont="1" applyFill="1" applyBorder="1" applyAlignment="1" applyProtection="1">
      <alignment vertical="center" wrapText="1"/>
      <protection locked="0"/>
    </xf>
    <xf numFmtId="0" fontId="17" fillId="11" borderId="81" xfId="3" applyNumberFormat="1" applyFont="1" applyFill="1" applyBorder="1" applyAlignment="1" applyProtection="1">
      <alignment horizontal="left" vertical="center"/>
      <protection locked="0"/>
    </xf>
    <xf numFmtId="1" fontId="17" fillId="11" borderId="8" xfId="3" applyNumberFormat="1" applyFont="1" applyFill="1" applyBorder="1" applyAlignment="1" applyProtection="1">
      <alignment horizontal="center" vertical="center"/>
      <protection locked="0"/>
    </xf>
    <xf numFmtId="0" fontId="17" fillId="11" borderId="2" xfId="3" applyNumberFormat="1" applyFont="1" applyFill="1" applyBorder="1" applyAlignment="1" applyProtection="1">
      <alignment horizontal="center" vertical="center"/>
      <protection locked="0"/>
    </xf>
    <xf numFmtId="1" fontId="17" fillId="11" borderId="34" xfId="3" applyNumberFormat="1" applyFont="1" applyFill="1" applyBorder="1" applyAlignment="1" applyProtection="1">
      <alignment horizontal="center" vertical="center"/>
    </xf>
    <xf numFmtId="0" fontId="19" fillId="12" borderId="0" xfId="3" applyFont="1" applyFill="1" applyBorder="1" applyAlignment="1" applyProtection="1">
      <alignment vertical="center"/>
      <protection locked="0"/>
    </xf>
    <xf numFmtId="0" fontId="19" fillId="12" borderId="0" xfId="3" applyFont="1" applyFill="1" applyBorder="1" applyAlignment="1" applyProtection="1">
      <alignment vertical="center" wrapText="1"/>
      <protection locked="0"/>
    </xf>
    <xf numFmtId="49" fontId="17" fillId="10" borderId="10" xfId="3" applyNumberFormat="1" applyFont="1" applyFill="1" applyBorder="1" applyAlignment="1" applyProtection="1">
      <alignment horizontal="center" vertical="center"/>
      <protection locked="0"/>
    </xf>
    <xf numFmtId="49" fontId="17" fillId="10" borderId="8" xfId="3" applyNumberFormat="1" applyFont="1" applyFill="1" applyBorder="1" applyAlignment="1" applyProtection="1">
      <alignment vertical="center"/>
      <protection locked="0"/>
    </xf>
    <xf numFmtId="0" fontId="19" fillId="11" borderId="0" xfId="3" applyFont="1" applyFill="1" applyBorder="1" applyAlignment="1" applyProtection="1">
      <alignment vertical="center"/>
      <protection locked="0"/>
    </xf>
    <xf numFmtId="0" fontId="19" fillId="11" borderId="0" xfId="3" applyFont="1" applyFill="1" applyBorder="1" applyAlignment="1" applyProtection="1">
      <alignment vertical="center" wrapText="1"/>
      <protection locked="0"/>
    </xf>
    <xf numFmtId="0" fontId="19" fillId="14" borderId="0" xfId="3" applyFont="1" applyFill="1" applyBorder="1" applyAlignment="1" applyProtection="1">
      <alignment vertical="center"/>
      <protection locked="0"/>
    </xf>
    <xf numFmtId="0" fontId="19" fillId="14" borderId="0" xfId="3" applyFont="1" applyFill="1" applyBorder="1" applyAlignment="1" applyProtection="1">
      <alignment vertical="center" wrapText="1"/>
      <protection locked="0"/>
    </xf>
    <xf numFmtId="0" fontId="19" fillId="15" borderId="0" xfId="3" applyFont="1" applyFill="1" applyBorder="1" applyAlignment="1" applyProtection="1">
      <alignment vertical="center"/>
      <protection locked="0"/>
    </xf>
    <xf numFmtId="0" fontId="19" fillId="15" borderId="0" xfId="3" applyFont="1" applyFill="1" applyBorder="1" applyAlignment="1" applyProtection="1">
      <alignment vertical="center" wrapText="1"/>
      <protection locked="0"/>
    </xf>
    <xf numFmtId="0" fontId="17" fillId="8" borderId="81" xfId="3" applyNumberFormat="1" applyFont="1" applyFill="1" applyBorder="1" applyAlignment="1" applyProtection="1">
      <alignment horizontal="left" vertical="center"/>
      <protection locked="0"/>
    </xf>
    <xf numFmtId="49" fontId="17" fillId="8" borderId="10" xfId="3" applyNumberFormat="1" applyFont="1" applyFill="1" applyBorder="1" applyAlignment="1" applyProtection="1">
      <alignment horizontal="center" vertical="center"/>
      <protection locked="0"/>
    </xf>
    <xf numFmtId="49" fontId="17" fillId="8" borderId="8" xfId="3" applyNumberFormat="1" applyFont="1" applyFill="1" applyBorder="1" applyAlignment="1" applyProtection="1">
      <alignment vertical="center"/>
      <protection locked="0"/>
    </xf>
    <xf numFmtId="1" fontId="17" fillId="8" borderId="8" xfId="3" applyNumberFormat="1" applyFont="1" applyFill="1" applyBorder="1" applyAlignment="1" applyProtection="1">
      <alignment horizontal="center" vertical="center"/>
      <protection locked="0"/>
    </xf>
    <xf numFmtId="0" fontId="17" fillId="8" borderId="2" xfId="3" applyNumberFormat="1" applyFont="1" applyFill="1" applyBorder="1" applyAlignment="1" applyProtection="1">
      <alignment horizontal="center" vertical="center"/>
      <protection locked="0"/>
    </xf>
    <xf numFmtId="1" fontId="17" fillId="8" borderId="34" xfId="3" applyNumberFormat="1" applyFont="1" applyFill="1" applyBorder="1" applyAlignment="1" applyProtection="1">
      <alignment horizontal="center" vertical="center"/>
    </xf>
    <xf numFmtId="0" fontId="19" fillId="13" borderId="0" xfId="3" applyFont="1" applyFill="1" applyBorder="1" applyAlignment="1" applyProtection="1">
      <alignment vertical="center"/>
      <protection locked="0"/>
    </xf>
    <xf numFmtId="0" fontId="19" fillId="13" borderId="0" xfId="3" applyFont="1" applyFill="1" applyBorder="1" applyAlignment="1" applyProtection="1">
      <alignment vertical="center" wrapText="1"/>
      <protection locked="0"/>
    </xf>
    <xf numFmtId="0" fontId="17" fillId="0" borderId="81" xfId="3" applyNumberFormat="1" applyFont="1" applyFill="1" applyBorder="1" applyAlignment="1" applyProtection="1">
      <alignment horizontal="left" vertical="center" wrapText="1"/>
      <protection locked="0"/>
    </xf>
    <xf numFmtId="1" fontId="17" fillId="0" borderId="8" xfId="3" applyNumberFormat="1" applyFont="1" applyFill="1" applyBorder="1" applyAlignment="1" applyProtection="1">
      <alignment horizontal="center" vertical="center"/>
      <protection locked="0"/>
    </xf>
    <xf numFmtId="0" fontId="17" fillId="0" borderId="2" xfId="3" applyNumberFormat="1" applyFont="1" applyFill="1" applyBorder="1" applyAlignment="1" applyProtection="1">
      <alignment horizontal="center" vertical="center"/>
      <protection locked="0"/>
    </xf>
    <xf numFmtId="1" fontId="17" fillId="0" borderId="34" xfId="3" applyNumberFormat="1" applyFont="1" applyFill="1" applyBorder="1" applyAlignment="1" applyProtection="1">
      <alignment horizontal="center" vertical="center"/>
    </xf>
    <xf numFmtId="0" fontId="17" fillId="0" borderId="81" xfId="3" applyNumberFormat="1" applyFont="1" applyFill="1" applyBorder="1" applyAlignment="1" applyProtection="1">
      <alignment horizontal="left" vertical="center"/>
      <protection locked="0"/>
    </xf>
    <xf numFmtId="0" fontId="13" fillId="0" borderId="0" xfId="3" applyFont="1" applyFill="1" applyBorder="1" applyAlignment="1" applyProtection="1">
      <alignment vertical="center"/>
      <protection locked="0"/>
    </xf>
    <xf numFmtId="0" fontId="13" fillId="8" borderId="0" xfId="3" applyNumberFormat="1" applyFont="1" applyFill="1" applyAlignment="1" applyProtection="1">
      <alignment vertical="center" wrapText="1"/>
      <protection locked="0"/>
    </xf>
    <xf numFmtId="0" fontId="13" fillId="0" borderId="79" xfId="3" applyNumberFormat="1" applyFont="1" applyBorder="1" applyAlignment="1" applyProtection="1">
      <alignment vertical="center" wrapText="1"/>
      <protection locked="0"/>
    </xf>
    <xf numFmtId="1" fontId="17" fillId="0" borderId="52" xfId="3" applyNumberFormat="1" applyFont="1" applyFill="1" applyBorder="1" applyAlignment="1" applyProtection="1">
      <alignment horizontal="center" vertical="center"/>
      <protection locked="0"/>
    </xf>
    <xf numFmtId="0" fontId="17" fillId="0" borderId="35" xfId="3" applyNumberFormat="1" applyFont="1" applyFill="1" applyBorder="1" applyAlignment="1" applyProtection="1">
      <alignment horizontal="center" vertical="center"/>
      <protection locked="0"/>
    </xf>
    <xf numFmtId="1" fontId="17" fillId="0" borderId="38" xfId="3" applyNumberFormat="1" applyFont="1" applyFill="1" applyBorder="1" applyAlignment="1" applyProtection="1">
      <alignment horizontal="center" vertical="center"/>
    </xf>
    <xf numFmtId="1" fontId="16" fillId="7" borderId="46" xfId="3" applyNumberFormat="1" applyFont="1" applyFill="1" applyBorder="1" applyAlignment="1" applyProtection="1">
      <alignment horizontal="center" vertical="center"/>
    </xf>
    <xf numFmtId="1" fontId="16" fillId="3" borderId="0" xfId="3" applyNumberFormat="1" applyFont="1" applyFill="1" applyBorder="1" applyAlignment="1" applyProtection="1">
      <alignment horizontal="center" vertical="center"/>
      <protection locked="0"/>
    </xf>
    <xf numFmtId="0" fontId="13" fillId="0" borderId="0" xfId="3" applyNumberFormat="1" applyFont="1" applyAlignment="1" applyProtection="1">
      <alignment vertical="center"/>
      <protection locked="0"/>
    </xf>
    <xf numFmtId="0" fontId="13" fillId="0" borderId="94" xfId="3" applyFont="1" applyBorder="1">
      <alignment vertical="top" wrapText="1"/>
    </xf>
    <xf numFmtId="0" fontId="13" fillId="0" borderId="0" xfId="3" applyFont="1" applyBorder="1">
      <alignment vertical="top" wrapText="1"/>
    </xf>
    <xf numFmtId="0" fontId="13" fillId="0" borderId="28" xfId="3" applyFont="1" applyBorder="1">
      <alignment vertical="top" wrapText="1"/>
    </xf>
    <xf numFmtId="44" fontId="20" fillId="7" borderId="85" xfId="4" applyFont="1" applyFill="1" applyBorder="1" applyAlignment="1" applyProtection="1">
      <alignment horizontal="center" vertical="center"/>
      <protection locked="0"/>
    </xf>
    <xf numFmtId="44" fontId="20" fillId="7" borderId="86" xfId="4" applyFont="1" applyFill="1" applyBorder="1" applyAlignment="1" applyProtection="1">
      <alignment horizontal="center" vertical="center"/>
      <protection locked="0"/>
    </xf>
    <xf numFmtId="49" fontId="20" fillId="7" borderId="32" xfId="3" applyNumberFormat="1" applyFont="1" applyFill="1" applyBorder="1" applyAlignment="1" applyProtection="1">
      <alignment horizontal="center" vertical="center"/>
      <protection locked="0"/>
    </xf>
    <xf numFmtId="167" fontId="20" fillId="7" borderId="32" xfId="3" applyNumberFormat="1" applyFont="1" applyFill="1" applyBorder="1" applyAlignment="1" applyProtection="1">
      <alignment horizontal="center" vertical="center"/>
      <protection locked="0"/>
    </xf>
    <xf numFmtId="167" fontId="20" fillId="7" borderId="87" xfId="3" applyNumberFormat="1" applyFont="1" applyFill="1" applyBorder="1" applyAlignment="1" applyProtection="1">
      <alignment horizontal="center" vertical="center"/>
      <protection locked="0"/>
    </xf>
    <xf numFmtId="49" fontId="21" fillId="7" borderId="88" xfId="3" applyNumberFormat="1" applyFont="1" applyFill="1" applyBorder="1" applyAlignment="1" applyProtection="1">
      <alignment horizontal="center" vertical="center"/>
      <protection locked="0"/>
    </xf>
    <xf numFmtId="0" fontId="13" fillId="22" borderId="85" xfId="3" applyFont="1" applyFill="1" applyBorder="1" applyProtection="1">
      <alignment vertical="top" wrapText="1"/>
      <protection locked="0"/>
    </xf>
    <xf numFmtId="44" fontId="17" fillId="21" borderId="105" xfId="4" applyFont="1" applyFill="1" applyBorder="1" applyAlignment="1" applyProtection="1">
      <alignment horizontal="center" vertical="center"/>
      <protection locked="0"/>
    </xf>
    <xf numFmtId="165" fontId="17" fillId="21" borderId="127" xfId="3" applyNumberFormat="1" applyFont="1" applyFill="1" applyBorder="1" applyAlignment="1" applyProtection="1">
      <alignment horizontal="center" vertical="center"/>
      <protection locked="0"/>
    </xf>
    <xf numFmtId="44" fontId="20" fillId="21" borderId="107" xfId="4" applyFont="1" applyFill="1" applyBorder="1" applyAlignment="1" applyProtection="1">
      <alignment horizontal="center" vertical="center"/>
    </xf>
    <xf numFmtId="3" fontId="17" fillId="21" borderId="128" xfId="3" applyNumberFormat="1" applyFont="1" applyFill="1" applyBorder="1" applyAlignment="1" applyProtection="1">
      <alignment horizontal="center" vertical="center"/>
      <protection locked="0"/>
    </xf>
    <xf numFmtId="1" fontId="17" fillId="7" borderId="127" xfId="3" applyNumberFormat="1" applyFont="1" applyFill="1" applyBorder="1" applyAlignment="1" applyProtection="1">
      <alignment horizontal="center" vertical="center"/>
      <protection locked="0"/>
    </xf>
    <xf numFmtId="166" fontId="17" fillId="21" borderId="127" xfId="3" applyNumberFormat="1" applyFont="1" applyFill="1" applyBorder="1" applyAlignment="1" applyProtection="1">
      <alignment horizontal="right" vertical="center"/>
    </xf>
    <xf numFmtId="44" fontId="17" fillId="21" borderId="22" xfId="4" applyFont="1" applyFill="1" applyBorder="1" applyAlignment="1" applyProtection="1">
      <alignment horizontal="right" vertical="center"/>
      <protection locked="0"/>
    </xf>
    <xf numFmtId="164" fontId="17" fillId="7" borderId="109" xfId="3" applyNumberFormat="1" applyFont="1" applyFill="1" applyBorder="1" applyAlignment="1" applyProtection="1">
      <alignment horizontal="right" vertical="center"/>
    </xf>
    <xf numFmtId="0" fontId="13" fillId="22" borderId="74" xfId="3" applyFont="1" applyFill="1" applyBorder="1" applyProtection="1">
      <alignment vertical="top" wrapText="1"/>
      <protection locked="0"/>
    </xf>
    <xf numFmtId="44" fontId="17" fillId="21" borderId="75" xfId="4" applyFont="1" applyFill="1" applyBorder="1" applyAlignment="1" applyProtection="1">
      <alignment horizontal="center" vertical="center"/>
      <protection locked="0"/>
    </xf>
    <xf numFmtId="165" fontId="17" fillId="21" borderId="73" xfId="3" applyNumberFormat="1" applyFont="1" applyFill="1" applyBorder="1" applyAlignment="1" applyProtection="1">
      <alignment horizontal="center" vertical="center"/>
      <protection locked="0"/>
    </xf>
    <xf numFmtId="44" fontId="20" fillId="21" borderId="68" xfId="4" applyFont="1" applyFill="1" applyBorder="1" applyAlignment="1" applyProtection="1">
      <alignment horizontal="center" vertical="center"/>
    </xf>
    <xf numFmtId="3" fontId="17" fillId="21" borderId="72" xfId="3" applyNumberFormat="1" applyFont="1" applyFill="1" applyBorder="1" applyAlignment="1" applyProtection="1">
      <alignment horizontal="center" vertical="center"/>
      <protection locked="0"/>
    </xf>
    <xf numFmtId="1" fontId="17" fillId="7" borderId="73" xfId="3" applyNumberFormat="1" applyFont="1" applyFill="1" applyBorder="1" applyAlignment="1" applyProtection="1">
      <alignment horizontal="center" vertical="center"/>
      <protection locked="0"/>
    </xf>
    <xf numFmtId="166" fontId="17" fillId="21" borderId="73" xfId="3" applyNumberFormat="1" applyFont="1" applyFill="1" applyBorder="1" applyAlignment="1" applyProtection="1">
      <alignment horizontal="right" vertical="center"/>
    </xf>
    <xf numFmtId="44" fontId="17" fillId="21" borderId="53" xfId="4" applyFont="1" applyFill="1" applyBorder="1" applyAlignment="1" applyProtection="1">
      <alignment horizontal="right" vertical="center"/>
      <protection locked="0"/>
    </xf>
    <xf numFmtId="164" fontId="17" fillId="7" borderId="70" xfId="3" applyNumberFormat="1" applyFont="1" applyFill="1" applyBorder="1" applyAlignment="1" applyProtection="1">
      <alignment horizontal="right" vertical="center"/>
    </xf>
    <xf numFmtId="0" fontId="13" fillId="0" borderId="74" xfId="3" applyFont="1" applyBorder="1" applyProtection="1">
      <alignment vertical="top" wrapText="1"/>
      <protection locked="0"/>
    </xf>
    <xf numFmtId="49" fontId="17" fillId="4" borderId="80" xfId="3" applyNumberFormat="1" applyFont="1" applyFill="1" applyBorder="1" applyAlignment="1" applyProtection="1">
      <alignment vertical="center"/>
      <protection locked="0"/>
    </xf>
    <xf numFmtId="49" fontId="17" fillId="4" borderId="81" xfId="3" applyNumberFormat="1" applyFont="1" applyFill="1" applyBorder="1" applyAlignment="1" applyProtection="1">
      <alignment vertical="center"/>
      <protection locked="0"/>
    </xf>
    <xf numFmtId="44" fontId="17" fillId="0" borderId="75" xfId="4" applyFont="1" applyFill="1" applyBorder="1" applyAlignment="1" applyProtection="1">
      <alignment horizontal="center" vertical="center"/>
      <protection locked="0"/>
    </xf>
    <xf numFmtId="165" fontId="17" fillId="0" borderId="73" xfId="3" applyNumberFormat="1" applyFont="1" applyFill="1" applyBorder="1" applyAlignment="1" applyProtection="1">
      <alignment horizontal="center" vertical="center"/>
      <protection locked="0"/>
    </xf>
    <xf numFmtId="44" fontId="20" fillId="7" borderId="68" xfId="4" applyFont="1" applyFill="1" applyBorder="1" applyAlignment="1" applyProtection="1">
      <alignment horizontal="center" vertical="center"/>
    </xf>
    <xf numFmtId="3" fontId="17" fillId="0" borderId="72" xfId="3" applyNumberFormat="1" applyFont="1" applyFill="1" applyBorder="1" applyAlignment="1" applyProtection="1">
      <alignment horizontal="center" vertical="center"/>
      <protection locked="0"/>
    </xf>
    <xf numFmtId="1" fontId="17" fillId="0" borderId="73" xfId="3" applyNumberFormat="1" applyFont="1" applyFill="1" applyBorder="1" applyAlignment="1" applyProtection="1">
      <alignment horizontal="center" vertical="center"/>
      <protection locked="0"/>
    </xf>
    <xf numFmtId="166" fontId="17" fillId="7" borderId="73" xfId="3" applyNumberFormat="1" applyFont="1" applyFill="1" applyBorder="1" applyAlignment="1" applyProtection="1">
      <alignment horizontal="right" vertical="center"/>
    </xf>
    <xf numFmtId="44" fontId="17" fillId="0" borderId="53" xfId="4" applyFont="1" applyFill="1" applyBorder="1" applyAlignment="1" applyProtection="1">
      <alignment horizontal="right" vertical="center"/>
      <protection locked="0"/>
    </xf>
    <xf numFmtId="0" fontId="13" fillId="0" borderId="76" xfId="3" applyFont="1" applyBorder="1" applyProtection="1">
      <alignment vertical="top" wrapText="1"/>
      <protection locked="0"/>
    </xf>
    <xf numFmtId="49" fontId="17" fillId="4" borderId="78" xfId="3" applyNumberFormat="1" applyFont="1" applyFill="1" applyBorder="1" applyAlignment="1" applyProtection="1">
      <alignment vertical="center"/>
      <protection locked="0"/>
    </xf>
    <xf numFmtId="49" fontId="17" fillId="4" borderId="79" xfId="3" applyNumberFormat="1" applyFont="1" applyFill="1" applyBorder="1" applyAlignment="1" applyProtection="1">
      <alignment vertical="center"/>
      <protection locked="0"/>
    </xf>
    <xf numFmtId="44" fontId="17" fillId="0" borderId="77" xfId="4" applyFont="1" applyFill="1" applyBorder="1" applyAlignment="1" applyProtection="1">
      <alignment horizontal="center" vertical="center"/>
      <protection locked="0"/>
    </xf>
    <xf numFmtId="165" fontId="17" fillId="0" borderId="37" xfId="3" applyNumberFormat="1" applyFont="1" applyFill="1" applyBorder="1" applyAlignment="1" applyProtection="1">
      <alignment horizontal="center" vertical="center"/>
      <protection locked="0"/>
    </xf>
    <xf numFmtId="44" fontId="20" fillId="7" borderId="69" xfId="4" applyFont="1" applyFill="1" applyBorder="1" applyAlignment="1" applyProtection="1">
      <alignment horizontal="center" vertical="center"/>
    </xf>
    <xf numFmtId="3" fontId="17" fillId="0" borderId="36" xfId="3" applyNumberFormat="1" applyFont="1" applyFill="1" applyBorder="1" applyAlignment="1" applyProtection="1">
      <alignment horizontal="center" vertical="center"/>
      <protection locked="0"/>
    </xf>
    <xf numFmtId="1" fontId="17" fillId="0" borderId="37" xfId="3" applyNumberFormat="1" applyFont="1" applyFill="1" applyBorder="1" applyAlignment="1" applyProtection="1">
      <alignment horizontal="center" vertical="center"/>
      <protection locked="0"/>
    </xf>
    <xf numFmtId="166" fontId="17" fillId="7" borderId="37" xfId="3" applyNumberFormat="1" applyFont="1" applyFill="1" applyBorder="1" applyAlignment="1" applyProtection="1">
      <alignment horizontal="right" vertical="center"/>
    </xf>
    <xf numFmtId="44" fontId="17" fillId="0" borderId="18" xfId="4" applyFont="1" applyFill="1" applyBorder="1" applyAlignment="1" applyProtection="1">
      <alignment horizontal="right" vertical="center"/>
      <protection locked="0"/>
    </xf>
    <xf numFmtId="0" fontId="13" fillId="0" borderId="40" xfId="3" applyFont="1" applyBorder="1" applyProtection="1">
      <alignment vertical="top" wrapText="1"/>
      <protection locked="0"/>
    </xf>
    <xf numFmtId="0" fontId="13" fillId="0" borderId="22" xfId="3" applyNumberFormat="1" applyFont="1" applyBorder="1" applyAlignment="1" applyProtection="1">
      <alignment vertical="center" wrapText="1"/>
      <protection locked="0"/>
    </xf>
    <xf numFmtId="0" fontId="21" fillId="8" borderId="22" xfId="3" applyFont="1" applyFill="1" applyBorder="1" applyAlignment="1" applyProtection="1">
      <alignment horizontal="center" vertical="center"/>
      <protection locked="0"/>
    </xf>
    <xf numFmtId="2" fontId="21" fillId="8" borderId="22" xfId="3" applyNumberFormat="1" applyFont="1" applyFill="1" applyBorder="1" applyAlignment="1" applyProtection="1">
      <alignment vertical="center"/>
      <protection locked="0"/>
    </xf>
    <xf numFmtId="167" fontId="21" fillId="8" borderId="22" xfId="3" applyNumberFormat="1" applyFont="1" applyFill="1" applyBorder="1" applyAlignment="1" applyProtection="1">
      <alignment vertical="center"/>
      <protection locked="0"/>
    </xf>
    <xf numFmtId="2" fontId="21" fillId="8" borderId="84" xfId="3" applyNumberFormat="1" applyFont="1" applyFill="1" applyBorder="1" applyAlignment="1" applyProtection="1">
      <alignment vertical="center"/>
      <protection locked="0"/>
    </xf>
    <xf numFmtId="49" fontId="21" fillId="7" borderId="101" xfId="3" applyNumberFormat="1" applyFont="1" applyFill="1" applyBorder="1" applyAlignment="1" applyProtection="1">
      <alignment horizontal="right" vertical="center"/>
      <protection locked="0"/>
    </xf>
    <xf numFmtId="164" fontId="18" fillId="2" borderId="90" xfId="3" applyNumberFormat="1" applyFont="1" applyFill="1" applyBorder="1" applyAlignment="1" applyProtection="1">
      <alignment horizontal="right" vertical="center"/>
    </xf>
    <xf numFmtId="0" fontId="13" fillId="0" borderId="94" xfId="3" applyFont="1" applyBorder="1" applyProtection="1">
      <alignment vertical="top" wrapText="1"/>
      <protection locked="0"/>
    </xf>
    <xf numFmtId="0" fontId="13" fillId="0" borderId="0" xfId="3" applyNumberFormat="1" applyFont="1" applyBorder="1" applyAlignment="1" applyProtection="1">
      <alignment vertical="center" wrapText="1"/>
      <protection locked="0"/>
    </xf>
    <xf numFmtId="0" fontId="21" fillId="8" borderId="0" xfId="3" applyFont="1" applyFill="1" applyBorder="1" applyAlignment="1" applyProtection="1">
      <alignment horizontal="center" vertical="center"/>
      <protection locked="0"/>
    </xf>
    <xf numFmtId="2" fontId="21" fillId="8" borderId="0" xfId="3" applyNumberFormat="1" applyFont="1" applyFill="1" applyBorder="1" applyAlignment="1" applyProtection="1">
      <alignment vertical="center"/>
      <protection locked="0"/>
    </xf>
    <xf numFmtId="167" fontId="21" fillId="8" borderId="0" xfId="3" applyNumberFormat="1" applyFont="1" applyFill="1" applyBorder="1" applyAlignment="1" applyProtection="1">
      <alignment vertical="center"/>
      <protection locked="0"/>
    </xf>
    <xf numFmtId="2" fontId="21" fillId="8" borderId="28" xfId="3" applyNumberFormat="1" applyFont="1" applyFill="1" applyBorder="1" applyAlignment="1" applyProtection="1">
      <alignment vertical="center"/>
      <protection locked="0"/>
    </xf>
    <xf numFmtId="44" fontId="17" fillId="7" borderId="95" xfId="4" applyFont="1" applyFill="1" applyBorder="1" applyAlignment="1" applyProtection="1">
      <alignment horizontal="center" vertical="center"/>
      <protection locked="0"/>
    </xf>
    <xf numFmtId="44" fontId="17" fillId="7" borderId="56" xfId="4" applyFont="1" applyFill="1" applyBorder="1" applyAlignment="1" applyProtection="1">
      <alignment horizontal="center" vertical="center"/>
      <protection locked="0"/>
    </xf>
    <xf numFmtId="0" fontId="21" fillId="7" borderId="61" xfId="3" applyNumberFormat="1" applyFont="1" applyFill="1" applyBorder="1" applyAlignment="1" applyProtection="1">
      <alignment horizontal="center" vertical="center"/>
      <protection locked="0"/>
    </xf>
    <xf numFmtId="0" fontId="13" fillId="3" borderId="110" xfId="3" applyFont="1" applyFill="1" applyBorder="1" applyAlignment="1" applyProtection="1">
      <alignment vertical="center" wrapText="1"/>
      <protection locked="0"/>
    </xf>
    <xf numFmtId="0" fontId="13" fillId="0" borderId="57" xfId="3" applyNumberFormat="1" applyFont="1" applyBorder="1" applyAlignment="1" applyProtection="1">
      <alignment vertical="center" wrapText="1"/>
      <protection locked="0"/>
    </xf>
    <xf numFmtId="44" fontId="17" fillId="4" borderId="31" xfId="4" applyFont="1" applyFill="1" applyBorder="1" applyAlignment="1" applyProtection="1">
      <alignment horizontal="center" vertical="center"/>
      <protection locked="0"/>
    </xf>
    <xf numFmtId="3" fontId="17" fillId="4" borderId="31" xfId="3" applyNumberFormat="1" applyFont="1" applyFill="1" applyBorder="1" applyAlignment="1" applyProtection="1">
      <alignment horizontal="center" vertical="center"/>
      <protection locked="0"/>
    </xf>
    <xf numFmtId="1" fontId="17" fillId="4" borderId="31" xfId="3" applyNumberFormat="1" applyFont="1" applyFill="1" applyBorder="1" applyAlignment="1" applyProtection="1">
      <alignment horizontal="center" vertical="center"/>
      <protection locked="0"/>
    </xf>
    <xf numFmtId="164" fontId="17" fillId="4" borderId="31" xfId="3" applyNumberFormat="1" applyFont="1" applyFill="1" applyBorder="1" applyAlignment="1" applyProtection="1">
      <alignment vertical="center"/>
      <protection locked="0"/>
    </xf>
    <xf numFmtId="164" fontId="17" fillId="4" borderId="3" xfId="3" applyNumberFormat="1" applyFont="1" applyFill="1" applyBorder="1" applyAlignment="1" applyProtection="1">
      <alignment horizontal="right" vertical="center"/>
    </xf>
    <xf numFmtId="0" fontId="13" fillId="0" borderId="58" xfId="3" applyNumberFormat="1" applyFont="1" applyBorder="1" applyAlignment="1" applyProtection="1">
      <alignment vertical="center" wrapText="1"/>
      <protection locked="0"/>
    </xf>
    <xf numFmtId="44" fontId="17" fillId="4" borderId="72" xfId="4" applyFont="1" applyFill="1" applyBorder="1" applyAlignment="1" applyProtection="1">
      <alignment horizontal="center" vertical="center"/>
      <protection locked="0"/>
    </xf>
    <xf numFmtId="3" fontId="17" fillId="4" borderId="72" xfId="3" applyNumberFormat="1" applyFont="1" applyFill="1" applyBorder="1" applyAlignment="1" applyProtection="1">
      <alignment horizontal="center" vertical="center"/>
      <protection locked="0"/>
    </xf>
    <xf numFmtId="1" fontId="17" fillId="4" borderId="72" xfId="3" applyNumberFormat="1" applyFont="1" applyFill="1" applyBorder="1" applyAlignment="1" applyProtection="1">
      <alignment horizontal="center" vertical="center"/>
      <protection locked="0"/>
    </xf>
    <xf numFmtId="164" fontId="17" fillId="4" borderId="72" xfId="3" applyNumberFormat="1" applyFont="1" applyFill="1" applyBorder="1" applyAlignment="1" applyProtection="1">
      <alignment vertical="center"/>
      <protection locked="0"/>
    </xf>
    <xf numFmtId="44" fontId="17" fillId="4" borderId="2" xfId="4" applyFont="1" applyFill="1" applyBorder="1" applyAlignment="1" applyProtection="1">
      <alignment horizontal="center" vertical="center"/>
      <protection locked="0"/>
    </xf>
    <xf numFmtId="3" fontId="17" fillId="4" borderId="2" xfId="3" applyNumberFormat="1" applyFont="1" applyFill="1" applyBorder="1" applyAlignment="1" applyProtection="1">
      <alignment horizontal="center" vertical="center"/>
      <protection locked="0"/>
    </xf>
    <xf numFmtId="1" fontId="17" fillId="4" borderId="2" xfId="3" applyNumberFormat="1" applyFont="1" applyFill="1" applyBorder="1" applyAlignment="1" applyProtection="1">
      <alignment horizontal="center" vertical="center"/>
      <protection locked="0"/>
    </xf>
    <xf numFmtId="164" fontId="17" fillId="4" borderId="2" xfId="3" applyNumberFormat="1" applyFont="1" applyFill="1" applyBorder="1" applyAlignment="1" applyProtection="1">
      <alignment vertical="center"/>
      <protection locked="0"/>
    </xf>
    <xf numFmtId="1" fontId="17" fillId="3" borderId="2" xfId="3" applyNumberFormat="1" applyFont="1" applyFill="1" applyBorder="1" applyAlignment="1" applyProtection="1">
      <alignment horizontal="center" vertical="center"/>
      <protection locked="0"/>
    </xf>
    <xf numFmtId="164" fontId="17" fillId="3" borderId="2" xfId="3" applyNumberFormat="1" applyFont="1" applyFill="1" applyBorder="1" applyAlignment="1" applyProtection="1">
      <alignment vertical="center"/>
      <protection locked="0"/>
    </xf>
    <xf numFmtId="44" fontId="17" fillId="4" borderId="30" xfId="4" applyFont="1" applyFill="1" applyBorder="1" applyAlignment="1" applyProtection="1">
      <alignment horizontal="center" vertical="center"/>
      <protection locked="0"/>
    </xf>
    <xf numFmtId="0" fontId="13" fillId="0" borderId="60" xfId="3" applyNumberFormat="1" applyFont="1" applyBorder="1" applyAlignment="1" applyProtection="1">
      <alignment vertical="center" wrapText="1"/>
      <protection locked="0"/>
    </xf>
    <xf numFmtId="44" fontId="17" fillId="4" borderId="4" xfId="4" applyFont="1" applyFill="1" applyBorder="1" applyAlignment="1" applyProtection="1">
      <alignment horizontal="center" vertical="center"/>
      <protection locked="0"/>
    </xf>
    <xf numFmtId="3" fontId="17" fillId="4" borderId="4" xfId="3" applyNumberFormat="1" applyFont="1" applyFill="1" applyBorder="1" applyAlignment="1" applyProtection="1">
      <alignment horizontal="center" vertical="center"/>
      <protection locked="0"/>
    </xf>
    <xf numFmtId="1" fontId="17" fillId="3" borderId="4" xfId="3" applyNumberFormat="1" applyFont="1" applyFill="1" applyBorder="1" applyAlignment="1" applyProtection="1">
      <alignment horizontal="center" vertical="center"/>
      <protection locked="0"/>
    </xf>
    <xf numFmtId="164" fontId="17" fillId="3" borderId="4" xfId="3" applyNumberFormat="1" applyFont="1" applyFill="1" applyBorder="1" applyAlignment="1" applyProtection="1">
      <alignment vertical="center"/>
      <protection locked="0"/>
    </xf>
    <xf numFmtId="49" fontId="21" fillId="8" borderId="19" xfId="3" applyNumberFormat="1" applyFont="1" applyFill="1" applyBorder="1" applyAlignment="1" applyProtection="1">
      <alignment vertical="center"/>
      <protection locked="0"/>
    </xf>
    <xf numFmtId="44" fontId="21" fillId="8" borderId="19" xfId="4" applyFont="1" applyFill="1" applyBorder="1" applyAlignment="1" applyProtection="1">
      <alignment vertical="center"/>
      <protection locked="0"/>
    </xf>
    <xf numFmtId="49" fontId="21" fillId="8" borderId="19" xfId="3" applyNumberFormat="1" applyFont="1" applyFill="1" applyBorder="1" applyAlignment="1" applyProtection="1">
      <alignment horizontal="center" vertical="center"/>
      <protection locked="0"/>
    </xf>
    <xf numFmtId="167" fontId="21" fillId="8" borderId="100" xfId="3" applyNumberFormat="1" applyFont="1" applyFill="1" applyBorder="1" applyAlignment="1" applyProtection="1">
      <alignment vertical="center"/>
      <protection locked="0"/>
    </xf>
    <xf numFmtId="49" fontId="21" fillId="2" borderId="101" xfId="3" applyNumberFormat="1" applyFont="1" applyFill="1" applyBorder="1" applyAlignment="1" applyProtection="1">
      <alignment horizontal="right" vertical="center"/>
      <protection locked="0"/>
    </xf>
    <xf numFmtId="164" fontId="18" fillId="2" borderId="100" xfId="3" applyNumberFormat="1" applyFont="1" applyFill="1" applyBorder="1" applyAlignment="1" applyProtection="1">
      <alignment horizontal="right" vertical="center"/>
    </xf>
    <xf numFmtId="0" fontId="13" fillId="3" borderId="111" xfId="3" applyFont="1" applyFill="1" applyBorder="1" applyAlignment="1" applyProtection="1">
      <alignment vertical="center" wrapText="1"/>
      <protection locked="0"/>
    </xf>
    <xf numFmtId="0" fontId="13" fillId="0" borderId="0" xfId="3" applyFont="1" applyBorder="1" applyProtection="1">
      <alignment vertical="top" wrapText="1"/>
      <protection locked="0"/>
    </xf>
    <xf numFmtId="44" fontId="18" fillId="20" borderId="13" xfId="4" applyFont="1" applyFill="1" applyBorder="1" applyAlignment="1">
      <alignment horizontal="center" vertical="top" wrapText="1"/>
    </xf>
    <xf numFmtId="0" fontId="26" fillId="0" borderId="0" xfId="3" applyFont="1">
      <alignment vertical="top" wrapText="1"/>
    </xf>
    <xf numFmtId="0" fontId="26" fillId="0" borderId="0" xfId="3" applyFont="1" applyAlignment="1">
      <alignment vertical="top"/>
    </xf>
    <xf numFmtId="0" fontId="13" fillId="0" borderId="85" xfId="3" applyFont="1" applyBorder="1" applyProtection="1">
      <alignment vertical="top" wrapText="1"/>
      <protection locked="0"/>
    </xf>
    <xf numFmtId="44" fontId="17" fillId="0" borderId="105" xfId="4" applyFont="1" applyFill="1" applyBorder="1" applyAlignment="1" applyProtection="1">
      <alignment horizontal="center" vertical="center"/>
      <protection locked="0"/>
    </xf>
    <xf numFmtId="165" fontId="17" fillId="0" borderId="127" xfId="3" applyNumberFormat="1" applyFont="1" applyFill="1" applyBorder="1" applyAlignment="1" applyProtection="1">
      <alignment horizontal="center" vertical="center"/>
      <protection locked="0"/>
    </xf>
    <xf numFmtId="44" fontId="20" fillId="7" borderId="107" xfId="4" applyFont="1" applyFill="1" applyBorder="1" applyAlignment="1" applyProtection="1">
      <alignment horizontal="center" vertical="center"/>
    </xf>
    <xf numFmtId="3" fontId="17" fillId="0" borderId="128" xfId="3" applyNumberFormat="1" applyFont="1" applyFill="1" applyBorder="1" applyAlignment="1" applyProtection="1">
      <alignment horizontal="center" vertical="center"/>
      <protection locked="0"/>
    </xf>
    <xf numFmtId="166" fontId="17" fillId="7" borderId="127" xfId="3" applyNumberFormat="1" applyFont="1" applyFill="1" applyBorder="1" applyAlignment="1" applyProtection="1">
      <alignment horizontal="right" vertical="center"/>
    </xf>
    <xf numFmtId="44" fontId="17" fillId="0" borderId="22" xfId="4" applyFont="1" applyFill="1" applyBorder="1" applyAlignment="1" applyProtection="1">
      <alignment horizontal="right" vertical="center"/>
      <protection locked="0"/>
    </xf>
    <xf numFmtId="164" fontId="17" fillId="7" borderId="89" xfId="3" applyNumberFormat="1" applyFont="1" applyFill="1" applyBorder="1" applyAlignment="1" applyProtection="1">
      <alignment horizontal="right" vertical="center"/>
    </xf>
    <xf numFmtId="164" fontId="18" fillId="2" borderId="13" xfId="3" applyNumberFormat="1" applyFont="1" applyFill="1" applyBorder="1" applyAlignment="1" applyProtection="1">
      <alignment horizontal="right" vertical="center"/>
    </xf>
    <xf numFmtId="0" fontId="21" fillId="7" borderId="71" xfId="3" applyNumberFormat="1" applyFont="1" applyFill="1" applyBorder="1" applyAlignment="1" applyProtection="1">
      <alignment horizontal="center" vertical="center"/>
      <protection locked="0"/>
    </xf>
    <xf numFmtId="0" fontId="13" fillId="0" borderId="62" xfId="3" applyNumberFormat="1" applyFont="1" applyBorder="1" applyAlignment="1" applyProtection="1">
      <alignment vertical="center" wrapText="1"/>
      <protection locked="0"/>
    </xf>
    <xf numFmtId="44" fontId="17" fillId="3" borderId="72" xfId="4" applyFont="1" applyFill="1" applyBorder="1" applyAlignment="1" applyProtection="1">
      <alignment horizontal="center" vertical="center"/>
      <protection locked="0"/>
    </xf>
    <xf numFmtId="3" fontId="17" fillId="3" borderId="72" xfId="3" applyNumberFormat="1" applyFont="1" applyFill="1" applyBorder="1" applyAlignment="1" applyProtection="1">
      <alignment horizontal="center" vertical="center"/>
      <protection locked="0"/>
    </xf>
    <xf numFmtId="1" fontId="17" fillId="3" borderId="72" xfId="3" applyNumberFormat="1" applyFont="1" applyFill="1" applyBorder="1" applyAlignment="1" applyProtection="1">
      <alignment horizontal="center" vertical="center"/>
      <protection locked="0"/>
    </xf>
    <xf numFmtId="164" fontId="17" fillId="7" borderId="63" xfId="3" applyNumberFormat="1" applyFont="1" applyFill="1" applyBorder="1" applyAlignment="1" applyProtection="1">
      <alignment horizontal="right" vertical="center"/>
    </xf>
    <xf numFmtId="44" fontId="17" fillId="3" borderId="2" xfId="4" applyFont="1" applyFill="1" applyBorder="1" applyAlignment="1" applyProtection="1">
      <alignment horizontal="center" vertical="center"/>
      <protection locked="0"/>
    </xf>
    <xf numFmtId="164" fontId="17" fillId="7" borderId="3" xfId="3" applyNumberFormat="1" applyFont="1" applyFill="1" applyBorder="1" applyAlignment="1" applyProtection="1">
      <alignment horizontal="right" vertical="center"/>
    </xf>
    <xf numFmtId="0" fontId="13" fillId="0" borderId="59" xfId="3" applyNumberFormat="1" applyFont="1" applyBorder="1" applyAlignment="1" applyProtection="1">
      <alignment vertical="center" wrapText="1"/>
      <protection locked="0"/>
    </xf>
    <xf numFmtId="44" fontId="17" fillId="3" borderId="4" xfId="4" applyFont="1" applyFill="1" applyBorder="1" applyAlignment="1" applyProtection="1">
      <alignment horizontal="center" vertical="center"/>
      <protection locked="0"/>
    </xf>
    <xf numFmtId="3" fontId="17" fillId="3" borderId="4" xfId="3" applyNumberFormat="1" applyFont="1" applyFill="1" applyBorder="1" applyAlignment="1" applyProtection="1">
      <alignment horizontal="center" vertical="center"/>
      <protection locked="0"/>
    </xf>
    <xf numFmtId="164" fontId="17" fillId="4" borderId="4" xfId="3" applyNumberFormat="1" applyFont="1" applyFill="1" applyBorder="1" applyAlignment="1" applyProtection="1">
      <alignment vertical="center"/>
      <protection locked="0"/>
    </xf>
    <xf numFmtId="164" fontId="17" fillId="7" borderId="5" xfId="3" applyNumberFormat="1" applyFont="1" applyFill="1" applyBorder="1" applyAlignment="1" applyProtection="1">
      <alignment horizontal="right" vertical="center"/>
    </xf>
    <xf numFmtId="0" fontId="13" fillId="0" borderId="42" xfId="3" applyNumberFormat="1" applyFont="1" applyBorder="1" applyAlignment="1" applyProtection="1">
      <alignment vertical="center" wrapText="1"/>
      <protection locked="0"/>
    </xf>
    <xf numFmtId="164" fontId="21" fillId="7" borderId="100" xfId="3" applyNumberFormat="1" applyFont="1" applyFill="1" applyBorder="1" applyAlignment="1" applyProtection="1">
      <alignment horizontal="right" vertical="center"/>
    </xf>
    <xf numFmtId="0" fontId="13" fillId="0" borderId="90" xfId="3" applyFont="1" applyBorder="1">
      <alignment vertical="top" wrapText="1"/>
    </xf>
    <xf numFmtId="1" fontId="17" fillId="0" borderId="127" xfId="3" applyNumberFormat="1" applyFont="1" applyFill="1" applyBorder="1" applyAlignment="1" applyProtection="1">
      <alignment horizontal="center" vertical="center"/>
      <protection locked="0"/>
    </xf>
    <xf numFmtId="49" fontId="18" fillId="5" borderId="12" xfId="3" applyNumberFormat="1" applyFont="1" applyFill="1" applyBorder="1" applyAlignment="1" applyProtection="1">
      <alignment horizontal="center" vertical="center"/>
      <protection locked="0"/>
    </xf>
    <xf numFmtId="0" fontId="17" fillId="7" borderId="149" xfId="3" applyFont="1" applyFill="1" applyBorder="1" applyAlignment="1" applyProtection="1">
      <alignment vertical="center"/>
      <protection locked="0"/>
    </xf>
    <xf numFmtId="164" fontId="17" fillId="7" borderId="150" xfId="3" applyNumberFormat="1" applyFont="1" applyFill="1" applyBorder="1" applyAlignment="1" applyProtection="1">
      <alignment horizontal="right" vertical="center"/>
    </xf>
    <xf numFmtId="0" fontId="17" fillId="7" borderId="113" xfId="3" applyFont="1" applyFill="1" applyBorder="1" applyAlignment="1" applyProtection="1">
      <alignment vertical="center"/>
      <protection locked="0"/>
    </xf>
    <xf numFmtId="164" fontId="17" fillId="7" borderId="113" xfId="3" applyNumberFormat="1" applyFont="1" applyFill="1" applyBorder="1" applyAlignment="1" applyProtection="1">
      <alignment vertical="center"/>
      <protection locked="0"/>
    </xf>
    <xf numFmtId="164" fontId="17" fillId="7" borderId="114" xfId="3" applyNumberFormat="1" applyFont="1" applyFill="1" applyBorder="1" applyAlignment="1" applyProtection="1">
      <alignment horizontal="right" vertical="center"/>
    </xf>
    <xf numFmtId="0" fontId="17" fillId="7" borderId="29" xfId="3" applyFont="1" applyFill="1" applyBorder="1" applyAlignment="1" applyProtection="1">
      <alignment vertical="center"/>
      <protection locked="0"/>
    </xf>
    <xf numFmtId="164" fontId="17" fillId="7" borderId="29" xfId="3" applyNumberFormat="1" applyFont="1" applyFill="1" applyBorder="1" applyAlignment="1" applyProtection="1">
      <alignment vertical="center"/>
      <protection locked="0"/>
    </xf>
    <xf numFmtId="164" fontId="17" fillId="7" borderId="41" xfId="3" applyNumberFormat="1" applyFont="1" applyFill="1" applyBorder="1" applyAlignment="1" applyProtection="1">
      <alignment horizontal="right" vertical="center"/>
    </xf>
    <xf numFmtId="0" fontId="28" fillId="7" borderId="40" xfId="3" applyFont="1" applyFill="1" applyBorder="1">
      <alignment vertical="top" wrapText="1"/>
    </xf>
    <xf numFmtId="0" fontId="28" fillId="7" borderId="22" xfId="3" applyFont="1" applyFill="1" applyBorder="1">
      <alignment vertical="top" wrapText="1"/>
    </xf>
    <xf numFmtId="49" fontId="21" fillId="7" borderId="148" xfId="3" applyNumberFormat="1" applyFont="1" applyFill="1" applyBorder="1" applyAlignment="1" applyProtection="1">
      <alignment horizontal="left" vertical="center"/>
      <protection locked="0"/>
    </xf>
    <xf numFmtId="164" fontId="21" fillId="7" borderId="149" xfId="3" applyNumberFormat="1" applyFont="1" applyFill="1" applyBorder="1" applyAlignment="1" applyProtection="1">
      <alignment vertical="center"/>
      <protection locked="0"/>
    </xf>
    <xf numFmtId="44" fontId="21" fillId="7" borderId="150" xfId="4" applyFont="1" applyFill="1" applyBorder="1" applyAlignment="1" applyProtection="1">
      <alignment horizontal="right" vertical="center"/>
    </xf>
    <xf numFmtId="0" fontId="28" fillId="0" borderId="0" xfId="3" applyFont="1">
      <alignment vertical="top" wrapText="1"/>
    </xf>
    <xf numFmtId="0" fontId="28" fillId="0" borderId="0" xfId="3" applyFont="1" applyAlignment="1">
      <alignment vertical="top"/>
    </xf>
    <xf numFmtId="0" fontId="28" fillId="7" borderId="42" xfId="3" applyFont="1" applyFill="1" applyBorder="1">
      <alignment vertical="top" wrapText="1"/>
    </xf>
    <xf numFmtId="0" fontId="28" fillId="7" borderId="18" xfId="3" applyFont="1" applyFill="1" applyBorder="1">
      <alignment vertical="top" wrapText="1"/>
    </xf>
    <xf numFmtId="49" fontId="21" fillId="7" borderId="93" xfId="3" applyNumberFormat="1" applyFont="1" applyFill="1" applyBorder="1" applyAlignment="1" applyProtection="1">
      <alignment horizontal="left" vertical="center"/>
      <protection locked="0"/>
    </xf>
    <xf numFmtId="44" fontId="21" fillId="7" borderId="43" xfId="4" applyFont="1" applyFill="1" applyBorder="1" applyAlignment="1" applyProtection="1">
      <alignment vertical="center"/>
      <protection locked="0"/>
    </xf>
    <xf numFmtId="164" fontId="21" fillId="7" borderId="44" xfId="3" applyNumberFormat="1" applyFont="1" applyFill="1" applyBorder="1" applyAlignment="1" applyProtection="1">
      <alignment horizontal="right" vertical="center"/>
    </xf>
    <xf numFmtId="0" fontId="26" fillId="5" borderId="11" xfId="3" applyNumberFormat="1" applyFont="1" applyFill="1" applyBorder="1" applyAlignment="1" applyProtection="1">
      <alignment vertical="center" wrapText="1"/>
      <protection locked="0"/>
    </xf>
    <xf numFmtId="49" fontId="18" fillId="5" borderId="12" xfId="3" applyNumberFormat="1" applyFont="1" applyFill="1" applyBorder="1" applyAlignment="1" applyProtection="1">
      <alignment vertical="center"/>
      <protection locked="0"/>
    </xf>
    <xf numFmtId="167" fontId="18" fillId="5" borderId="12" xfId="3" applyNumberFormat="1" applyFont="1" applyFill="1" applyBorder="1" applyAlignment="1" applyProtection="1">
      <alignment vertical="center"/>
      <protection locked="0"/>
    </xf>
    <xf numFmtId="49" fontId="18" fillId="5" borderId="12" xfId="3" applyNumberFormat="1" applyFont="1" applyFill="1" applyBorder="1" applyAlignment="1" applyProtection="1">
      <alignment horizontal="right" vertical="center"/>
      <protection locked="0"/>
    </xf>
    <xf numFmtId="0" fontId="30" fillId="0" borderId="0" xfId="3" applyNumberFormat="1" applyFont="1" applyAlignment="1" applyProtection="1">
      <alignment vertical="center" wrapText="1"/>
      <protection locked="0"/>
    </xf>
    <xf numFmtId="0" fontId="31" fillId="4" borderId="0" xfId="3" applyFont="1" applyFill="1" applyBorder="1" applyAlignment="1" applyProtection="1">
      <alignment horizontal="left" vertical="center"/>
      <protection locked="0"/>
    </xf>
    <xf numFmtId="168" fontId="31" fillId="4" borderId="0" xfId="3" applyNumberFormat="1" applyFont="1" applyFill="1" applyBorder="1" applyAlignment="1" applyProtection="1">
      <alignment horizontal="left" vertical="center"/>
      <protection locked="0"/>
    </xf>
    <xf numFmtId="44" fontId="31" fillId="4" borderId="0" xfId="4" applyFont="1" applyFill="1" applyBorder="1" applyAlignment="1" applyProtection="1">
      <alignment horizontal="center" vertical="center"/>
      <protection locked="0"/>
    </xf>
    <xf numFmtId="0" fontId="31" fillId="4" borderId="0" xfId="3" applyFont="1" applyFill="1" applyBorder="1" applyAlignment="1" applyProtection="1">
      <alignment horizontal="center" vertical="center"/>
      <protection locked="0"/>
    </xf>
    <xf numFmtId="167" fontId="31" fillId="4" borderId="0" xfId="3" applyNumberFormat="1" applyFont="1" applyFill="1" applyBorder="1" applyAlignment="1" applyProtection="1">
      <alignment vertical="center"/>
      <protection locked="0"/>
    </xf>
    <xf numFmtId="164" fontId="31" fillId="4" borderId="0" xfId="3" applyNumberFormat="1" applyFont="1" applyFill="1" applyBorder="1" applyAlignment="1" applyProtection="1">
      <alignment vertical="center"/>
      <protection locked="0"/>
    </xf>
    <xf numFmtId="44" fontId="31" fillId="20" borderId="56" xfId="4" applyFont="1" applyFill="1" applyBorder="1" applyAlignment="1" applyProtection="1">
      <alignment horizontal="center" vertical="center"/>
      <protection locked="0"/>
    </xf>
    <xf numFmtId="0" fontId="30" fillId="0" borderId="57" xfId="3" applyNumberFormat="1" applyFont="1" applyBorder="1" applyAlignment="1" applyProtection="1">
      <alignment vertical="center" wrapText="1"/>
      <protection locked="0"/>
    </xf>
    <xf numFmtId="164" fontId="31" fillId="3" borderId="130" xfId="3" applyNumberFormat="1" applyFont="1" applyFill="1" applyBorder="1" applyAlignment="1" applyProtection="1">
      <alignment horizontal="right" vertical="center"/>
      <protection locked="0"/>
    </xf>
    <xf numFmtId="0" fontId="30" fillId="0" borderId="58" xfId="3" applyNumberFormat="1" applyFont="1" applyBorder="1" applyAlignment="1" applyProtection="1">
      <alignment vertical="center" wrapText="1"/>
      <protection locked="0"/>
    </xf>
    <xf numFmtId="164" fontId="31" fillId="3" borderId="3" xfId="3" applyNumberFormat="1" applyFont="1" applyFill="1" applyBorder="1" applyAlignment="1" applyProtection="1">
      <alignment horizontal="right" vertical="center"/>
      <protection locked="0"/>
    </xf>
    <xf numFmtId="0" fontId="30" fillId="0" borderId="59" xfId="3" applyNumberFormat="1" applyFont="1" applyBorder="1" applyAlignment="1" applyProtection="1">
      <alignment vertical="center" wrapText="1"/>
      <protection locked="0"/>
    </xf>
    <xf numFmtId="164" fontId="31" fillId="3" borderId="5" xfId="3" applyNumberFormat="1" applyFont="1" applyFill="1" applyBorder="1" applyAlignment="1" applyProtection="1">
      <alignment horizontal="right" vertical="center"/>
      <protection locked="0"/>
    </xf>
    <xf numFmtId="0" fontId="31" fillId="8" borderId="131" xfId="3" applyFont="1" applyFill="1" applyBorder="1" applyAlignment="1" applyProtection="1">
      <alignment horizontal="center" vertical="center"/>
      <protection locked="0"/>
    </xf>
    <xf numFmtId="49" fontId="32" fillId="8" borderId="131" xfId="3" applyNumberFormat="1" applyFont="1" applyFill="1" applyBorder="1" applyAlignment="1" applyProtection="1">
      <alignment horizontal="center" vertical="center"/>
      <protection locked="0"/>
    </xf>
    <xf numFmtId="49" fontId="32" fillId="7" borderId="132" xfId="3" applyNumberFormat="1" applyFont="1" applyFill="1" applyBorder="1" applyAlignment="1" applyProtection="1">
      <alignment vertical="center"/>
      <protection locked="0"/>
    </xf>
    <xf numFmtId="167" fontId="32" fillId="7" borderId="133" xfId="3" applyNumberFormat="1" applyFont="1" applyFill="1" applyBorder="1" applyAlignment="1" applyProtection="1">
      <alignment vertical="center"/>
      <protection locked="0"/>
    </xf>
    <xf numFmtId="49" fontId="32" fillId="2" borderId="132" xfId="3" applyNumberFormat="1" applyFont="1" applyFill="1" applyBorder="1" applyAlignment="1" applyProtection="1">
      <alignment horizontal="right" vertical="center"/>
      <protection locked="0"/>
    </xf>
    <xf numFmtId="164" fontId="33" fillId="2" borderId="133" xfId="3" applyNumberFormat="1" applyFont="1" applyFill="1" applyBorder="1" applyAlignment="1" applyProtection="1">
      <alignment horizontal="right" vertical="center"/>
    </xf>
    <xf numFmtId="0" fontId="31" fillId="4" borderId="6" xfId="3" applyFont="1" applyFill="1" applyBorder="1" applyAlignment="1" applyProtection="1">
      <alignment horizontal="left" vertical="center"/>
      <protection locked="0"/>
    </xf>
    <xf numFmtId="168" fontId="31" fillId="4" borderId="6" xfId="3" applyNumberFormat="1" applyFont="1" applyFill="1" applyBorder="1" applyAlignment="1" applyProtection="1">
      <alignment horizontal="left" vertical="center"/>
      <protection locked="0"/>
    </xf>
    <xf numFmtId="44" fontId="31" fillId="4" borderId="6" xfId="4" applyFont="1" applyFill="1" applyBorder="1" applyAlignment="1" applyProtection="1">
      <alignment horizontal="center" vertical="center"/>
      <protection locked="0"/>
    </xf>
    <xf numFmtId="0" fontId="31" fillId="4" borderId="6" xfId="3" applyFont="1" applyFill="1" applyBorder="1" applyAlignment="1" applyProtection="1">
      <alignment horizontal="center" vertical="center"/>
      <protection locked="0"/>
    </xf>
    <xf numFmtId="167" fontId="31" fillId="4" borderId="6" xfId="3" applyNumberFormat="1" applyFont="1" applyFill="1" applyBorder="1" applyAlignment="1" applyProtection="1">
      <alignment vertical="center"/>
      <protection locked="0"/>
    </xf>
    <xf numFmtId="0" fontId="31" fillId="4" borderId="17" xfId="3" applyFont="1" applyFill="1" applyBorder="1" applyAlignment="1" applyProtection="1">
      <alignment horizontal="left" vertical="center"/>
      <protection locked="0"/>
    </xf>
    <xf numFmtId="164" fontId="31" fillId="4" borderId="17" xfId="3" applyNumberFormat="1" applyFont="1" applyFill="1" applyBorder="1" applyAlignment="1" applyProtection="1">
      <alignment vertical="center"/>
      <protection locked="0"/>
    </xf>
    <xf numFmtId="168" fontId="31" fillId="4" borderId="141" xfId="3" applyNumberFormat="1" applyFont="1" applyFill="1" applyBorder="1" applyAlignment="1" applyProtection="1">
      <alignment horizontal="left" vertical="center"/>
      <protection locked="0"/>
    </xf>
    <xf numFmtId="168" fontId="31" fillId="4" borderId="142" xfId="3" applyNumberFormat="1" applyFont="1" applyFill="1" applyBorder="1" applyAlignment="1" applyProtection="1">
      <alignment horizontal="left" vertical="center"/>
      <protection locked="0"/>
    </xf>
    <xf numFmtId="168" fontId="31" fillId="4" borderId="143" xfId="3" applyNumberFormat="1" applyFont="1" applyFill="1" applyBorder="1" applyAlignment="1" applyProtection="1">
      <alignment horizontal="left" vertical="center"/>
      <protection locked="0"/>
    </xf>
    <xf numFmtId="49" fontId="32" fillId="0" borderId="131" xfId="3" applyNumberFormat="1" applyFont="1" applyFill="1" applyBorder="1" applyAlignment="1" applyProtection="1">
      <alignment vertical="center"/>
      <protection locked="0"/>
    </xf>
    <xf numFmtId="49" fontId="32" fillId="8" borderId="131" xfId="3" applyNumberFormat="1" applyFont="1" applyFill="1" applyBorder="1" applyAlignment="1" applyProtection="1">
      <alignment vertical="center"/>
      <protection locked="0"/>
    </xf>
    <xf numFmtId="44" fontId="32" fillId="8" borderId="131" xfId="4" applyFont="1" applyFill="1" applyBorder="1" applyAlignment="1" applyProtection="1">
      <alignment vertical="center"/>
      <protection locked="0"/>
    </xf>
    <xf numFmtId="49" fontId="32" fillId="7" borderId="11" xfId="3" applyNumberFormat="1" applyFont="1" applyFill="1" applyBorder="1" applyAlignment="1" applyProtection="1">
      <alignment vertical="center"/>
      <protection locked="0"/>
    </xf>
    <xf numFmtId="167" fontId="32" fillId="7" borderId="16" xfId="3" applyNumberFormat="1" applyFont="1" applyFill="1" applyBorder="1" applyAlignment="1" applyProtection="1">
      <alignment vertical="center"/>
      <protection locked="0"/>
    </xf>
    <xf numFmtId="49" fontId="32" fillId="7" borderId="27" xfId="3" applyNumberFormat="1" applyFont="1" applyFill="1" applyBorder="1" applyAlignment="1" applyProtection="1">
      <alignment horizontal="right" vertical="center"/>
      <protection locked="0"/>
    </xf>
    <xf numFmtId="164" fontId="33" fillId="2" borderId="13" xfId="3" applyNumberFormat="1" applyFont="1" applyFill="1" applyBorder="1" applyAlignment="1" applyProtection="1">
      <alignment horizontal="right" vertical="center"/>
    </xf>
    <xf numFmtId="49" fontId="32" fillId="0" borderId="0" xfId="3" applyNumberFormat="1" applyFont="1" applyFill="1" applyBorder="1" applyAlignment="1" applyProtection="1">
      <alignment vertical="center"/>
      <protection locked="0"/>
    </xf>
    <xf numFmtId="49" fontId="32" fillId="8" borderId="0" xfId="3" applyNumberFormat="1" applyFont="1" applyFill="1" applyBorder="1" applyAlignment="1" applyProtection="1">
      <alignment vertical="center"/>
      <protection locked="0"/>
    </xf>
    <xf numFmtId="44" fontId="32" fillId="8" borderId="0" xfId="4" applyFont="1" applyFill="1" applyBorder="1" applyAlignment="1" applyProtection="1">
      <alignment vertical="center"/>
      <protection locked="0"/>
    </xf>
    <xf numFmtId="49" fontId="32" fillId="8" borderId="0" xfId="3" applyNumberFormat="1" applyFont="1" applyFill="1" applyBorder="1" applyAlignment="1" applyProtection="1">
      <alignment horizontal="center" vertical="center"/>
      <protection locked="0"/>
    </xf>
    <xf numFmtId="167" fontId="32" fillId="0" borderId="0" xfId="3" applyNumberFormat="1" applyFont="1" applyFill="1" applyBorder="1" applyAlignment="1" applyProtection="1">
      <alignment vertical="center"/>
      <protection locked="0"/>
    </xf>
    <xf numFmtId="49" fontId="32" fillId="0" borderId="0" xfId="3" applyNumberFormat="1" applyFont="1" applyFill="1" applyBorder="1" applyAlignment="1" applyProtection="1">
      <alignment horizontal="right" vertical="center"/>
      <protection locked="0"/>
    </xf>
    <xf numFmtId="164" fontId="33" fillId="0" borderId="0" xfId="3" applyNumberFormat="1" applyFont="1" applyFill="1" applyBorder="1" applyAlignment="1" applyProtection="1">
      <alignment horizontal="right" vertical="center"/>
      <protection locked="0"/>
    </xf>
    <xf numFmtId="49" fontId="31" fillId="4" borderId="141" xfId="3" applyNumberFormat="1" applyFont="1" applyFill="1" applyBorder="1" applyAlignment="1" applyProtection="1">
      <alignment vertical="center"/>
      <protection locked="0"/>
    </xf>
    <xf numFmtId="0" fontId="30" fillId="0" borderId="62" xfId="3" applyNumberFormat="1" applyFont="1" applyBorder="1" applyAlignment="1" applyProtection="1">
      <alignment vertical="center" wrapText="1"/>
      <protection locked="0"/>
    </xf>
    <xf numFmtId="49" fontId="31" fillId="4" borderId="142" xfId="3" applyNumberFormat="1" applyFont="1" applyFill="1" applyBorder="1" applyAlignment="1" applyProtection="1">
      <alignment vertical="center"/>
      <protection locked="0"/>
    </xf>
    <xf numFmtId="0" fontId="30" fillId="0" borderId="60" xfId="3" applyNumberFormat="1" applyFont="1" applyBorder="1" applyAlignment="1" applyProtection="1">
      <alignment vertical="center" wrapText="1"/>
      <protection locked="0"/>
    </xf>
    <xf numFmtId="49" fontId="31" fillId="4" borderId="143" xfId="3" applyNumberFormat="1" applyFont="1" applyFill="1" applyBorder="1" applyAlignment="1" applyProtection="1">
      <alignment vertical="center"/>
      <protection locked="0"/>
    </xf>
    <xf numFmtId="49" fontId="31" fillId="4" borderId="134" xfId="3" applyNumberFormat="1" applyFont="1" applyFill="1" applyBorder="1" applyAlignment="1" applyProtection="1">
      <alignment vertical="center"/>
      <protection locked="0"/>
    </xf>
    <xf numFmtId="49" fontId="35" fillId="4" borderId="135" xfId="3" applyNumberFormat="1" applyFont="1" applyFill="1" applyBorder="1" applyAlignment="1" applyProtection="1">
      <alignment horizontal="left" vertical="center"/>
      <protection locked="0"/>
    </xf>
    <xf numFmtId="164" fontId="31" fillId="3" borderId="139" xfId="3" applyNumberFormat="1" applyFont="1" applyFill="1" applyBorder="1" applyAlignment="1" applyProtection="1">
      <alignment horizontal="right" vertical="center"/>
      <protection locked="0"/>
    </xf>
    <xf numFmtId="44" fontId="31" fillId="3" borderId="0" xfId="4" applyFont="1" applyFill="1" applyBorder="1" applyAlignment="1" applyProtection="1">
      <alignment horizontal="left" vertical="center"/>
      <protection locked="0"/>
    </xf>
    <xf numFmtId="0" fontId="31" fillId="3" borderId="0" xfId="3" applyFont="1" applyFill="1" applyBorder="1" applyAlignment="1" applyProtection="1">
      <alignment horizontal="left" vertical="center"/>
      <protection locked="0"/>
    </xf>
    <xf numFmtId="167" fontId="31" fillId="4" borderId="0" xfId="3" applyNumberFormat="1" applyFont="1" applyFill="1" applyBorder="1" applyAlignment="1" applyProtection="1">
      <alignment horizontal="left" vertical="center"/>
      <protection locked="0"/>
    </xf>
    <xf numFmtId="49" fontId="32" fillId="3" borderId="131" xfId="3" applyNumberFormat="1" applyFont="1" applyFill="1" applyBorder="1" applyAlignment="1" applyProtection="1">
      <alignment horizontal="center" vertical="center"/>
      <protection locked="0"/>
    </xf>
    <xf numFmtId="164" fontId="32" fillId="3" borderId="131" xfId="3" applyNumberFormat="1" applyFont="1" applyFill="1" applyBorder="1" applyAlignment="1" applyProtection="1">
      <alignment horizontal="right" vertical="center"/>
      <protection locked="0"/>
    </xf>
    <xf numFmtId="0" fontId="31" fillId="4" borderId="0" xfId="3" applyFont="1" applyFill="1" applyBorder="1" applyAlignment="1" applyProtection="1">
      <alignment vertical="center"/>
      <protection locked="0"/>
    </xf>
    <xf numFmtId="44" fontId="32" fillId="3" borderId="0" xfId="4" applyFont="1" applyFill="1" applyBorder="1" applyAlignment="1" applyProtection="1">
      <alignment vertical="center"/>
      <protection locked="0"/>
    </xf>
    <xf numFmtId="49" fontId="32" fillId="0" borderId="0" xfId="3" applyNumberFormat="1" applyFont="1" applyFill="1" applyBorder="1" applyAlignment="1" applyProtection="1">
      <alignment horizontal="center" vertical="center"/>
      <protection locked="0"/>
    </xf>
    <xf numFmtId="49" fontId="32" fillId="2" borderId="11" xfId="3" applyNumberFormat="1" applyFont="1" applyFill="1" applyBorder="1" applyAlignment="1" applyProtection="1">
      <alignment horizontal="right" vertical="center"/>
      <protection locked="0"/>
    </xf>
    <xf numFmtId="167" fontId="32" fillId="2" borderId="12" xfId="3" applyNumberFormat="1" applyFont="1" applyFill="1" applyBorder="1" applyAlignment="1" applyProtection="1">
      <alignment horizontal="right" vertical="center"/>
      <protection locked="0"/>
    </xf>
    <xf numFmtId="49" fontId="32" fillId="2" borderId="27" xfId="3" applyNumberFormat="1" applyFont="1" applyFill="1" applyBorder="1" applyAlignment="1" applyProtection="1">
      <alignment horizontal="right" vertical="center"/>
      <protection locked="0"/>
    </xf>
    <xf numFmtId="44" fontId="30" fillId="3" borderId="0" xfId="4" applyFont="1" applyFill="1" applyBorder="1" applyAlignment="1" applyProtection="1">
      <alignment vertical="center" wrapText="1"/>
      <protection locked="0"/>
    </xf>
    <xf numFmtId="0" fontId="30" fillId="3" borderId="0" xfId="3" applyFont="1" applyFill="1" applyBorder="1" applyAlignment="1" applyProtection="1">
      <alignment horizontal="center" vertical="center" wrapText="1"/>
      <protection locked="0"/>
    </xf>
    <xf numFmtId="0" fontId="30" fillId="3" borderId="0" xfId="3" applyFont="1" applyFill="1" applyBorder="1" applyAlignment="1" applyProtection="1">
      <alignment vertical="center" wrapText="1"/>
      <protection locked="0"/>
    </xf>
    <xf numFmtId="167" fontId="30" fillId="3" borderId="0" xfId="3" applyNumberFormat="1" applyFont="1" applyFill="1" applyBorder="1" applyAlignment="1" applyProtection="1">
      <alignment vertical="center" wrapText="1"/>
      <protection locked="0"/>
    </xf>
    <xf numFmtId="0" fontId="31" fillId="5" borderId="12" xfId="3" applyFont="1" applyFill="1" applyBorder="1" applyAlignment="1" applyProtection="1">
      <alignment horizontal="left" vertical="center"/>
      <protection locked="0"/>
    </xf>
    <xf numFmtId="44" fontId="36" fillId="5" borderId="12" xfId="4" applyFont="1" applyFill="1" applyBorder="1" applyAlignment="1" applyProtection="1">
      <alignment vertical="center"/>
      <protection locked="0"/>
    </xf>
    <xf numFmtId="164" fontId="29" fillId="5" borderId="13" xfId="3" applyNumberFormat="1" applyFont="1" applyFill="1" applyBorder="1" applyAlignment="1" applyProtection="1">
      <alignment horizontal="right" vertical="center"/>
    </xf>
    <xf numFmtId="0" fontId="37" fillId="0" borderId="0" xfId="7"/>
    <xf numFmtId="0" fontId="38" fillId="0" borderId="0" xfId="7" applyFont="1" applyAlignment="1">
      <alignment horizontal="center"/>
    </xf>
    <xf numFmtId="0" fontId="37" fillId="0" borderId="0" xfId="7" applyAlignment="1">
      <alignment horizontal="left"/>
    </xf>
    <xf numFmtId="49" fontId="39" fillId="0" borderId="0" xfId="7" applyNumberFormat="1" applyFont="1" applyAlignment="1">
      <alignment wrapText="1"/>
    </xf>
    <xf numFmtId="49" fontId="39" fillId="0" borderId="0" xfId="7" applyNumberFormat="1" applyFont="1"/>
    <xf numFmtId="49" fontId="40" fillId="0" borderId="0" xfId="7" applyNumberFormat="1" applyFont="1"/>
    <xf numFmtId="49" fontId="41" fillId="0" borderId="0" xfId="8" applyNumberFormat="1" applyAlignment="1">
      <alignment wrapText="1"/>
    </xf>
    <xf numFmtId="49" fontId="42" fillId="0" borderId="0" xfId="7" applyNumberFormat="1" applyFont="1" applyAlignment="1">
      <alignment wrapText="1"/>
    </xf>
    <xf numFmtId="49" fontId="43" fillId="0" borderId="0" xfId="7" applyNumberFormat="1" applyFont="1" applyAlignment="1">
      <alignment wrapText="1"/>
    </xf>
    <xf numFmtId="49" fontId="42" fillId="0" borderId="0" xfId="7" applyNumberFormat="1" applyFont="1" applyAlignment="1">
      <alignment horizontal="center" wrapText="1"/>
    </xf>
    <xf numFmtId="10" fontId="42" fillId="23" borderId="151" xfId="7" applyNumberFormat="1" applyFont="1" applyFill="1" applyBorder="1" applyAlignment="1">
      <alignment horizontal="center" vertical="center"/>
    </xf>
    <xf numFmtId="4" fontId="42" fillId="23" borderId="151" xfId="7" applyNumberFormat="1" applyFont="1" applyFill="1" applyBorder="1" applyAlignment="1">
      <alignment horizontal="center" vertical="center"/>
    </xf>
    <xf numFmtId="49" fontId="44" fillId="0" borderId="152" xfId="7" applyNumberFormat="1" applyFont="1" applyBorder="1" applyAlignment="1">
      <alignment horizontal="center" vertical="center" wrapText="1"/>
    </xf>
    <xf numFmtId="49" fontId="39" fillId="0" borderId="152" xfId="7" applyNumberFormat="1" applyFont="1" applyBorder="1"/>
    <xf numFmtId="49" fontId="40" fillId="0" borderId="153" xfId="7" applyNumberFormat="1" applyFont="1" applyBorder="1"/>
    <xf numFmtId="10" fontId="38" fillId="0" borderId="154" xfId="7" applyNumberFormat="1" applyFont="1" applyBorder="1" applyAlignment="1">
      <alignment horizontal="center" vertical="center"/>
    </xf>
    <xf numFmtId="4" fontId="37" fillId="0" borderId="154" xfId="7" applyNumberFormat="1" applyBorder="1" applyAlignment="1">
      <alignment horizontal="center" vertical="center"/>
    </xf>
    <xf numFmtId="49" fontId="39" fillId="0" borderId="155" xfId="7" applyNumberFormat="1" applyFont="1" applyBorder="1" applyAlignment="1">
      <alignment vertical="center" wrapText="1"/>
    </xf>
    <xf numFmtId="49" fontId="40" fillId="0" borderId="156" xfId="7" applyNumberFormat="1" applyFont="1" applyBorder="1"/>
    <xf numFmtId="10" fontId="45" fillId="23" borderId="157" xfId="7" applyNumberFormat="1" applyFont="1" applyFill="1" applyBorder="1" applyAlignment="1">
      <alignment horizontal="center" vertical="center"/>
    </xf>
    <xf numFmtId="4" fontId="45" fillId="23" borderId="157" xfId="7" applyNumberFormat="1" applyFont="1" applyFill="1" applyBorder="1" applyAlignment="1">
      <alignment horizontal="center" vertical="center"/>
    </xf>
    <xf numFmtId="49" fontId="42" fillId="0" borderId="155" xfId="7" applyNumberFormat="1" applyFont="1" applyBorder="1" applyAlignment="1">
      <alignment horizontal="center" vertical="center" wrapText="1"/>
    </xf>
    <xf numFmtId="10" fontId="46" fillId="0" borderId="157" xfId="7" applyNumberFormat="1" applyFont="1" applyBorder="1" applyAlignment="1">
      <alignment horizontal="center" vertical="center"/>
    </xf>
    <xf numFmtId="4" fontId="37" fillId="0" borderId="157" xfId="7" applyNumberFormat="1" applyBorder="1" applyAlignment="1">
      <alignment horizontal="center" vertical="center"/>
    </xf>
    <xf numFmtId="0" fontId="37" fillId="0" borderId="0" xfId="7" applyAlignment="1">
      <alignment vertical="center"/>
    </xf>
    <xf numFmtId="49" fontId="39" fillId="0" borderId="0" xfId="7" applyNumberFormat="1" applyFont="1" applyAlignment="1">
      <alignment vertical="center"/>
    </xf>
    <xf numFmtId="49" fontId="42" fillId="0" borderId="0" xfId="7" applyNumberFormat="1" applyFont="1" applyAlignment="1">
      <alignment vertical="center"/>
    </xf>
    <xf numFmtId="49" fontId="47" fillId="0" borderId="156" xfId="7" applyNumberFormat="1" applyFont="1" applyBorder="1" applyAlignment="1">
      <alignment vertical="center"/>
    </xf>
    <xf numFmtId="49" fontId="39" fillId="0" borderId="158" xfId="7" applyNumberFormat="1" applyFont="1" applyBorder="1" applyAlignment="1">
      <alignment vertical="center" wrapText="1"/>
    </xf>
    <xf numFmtId="49" fontId="42" fillId="0" borderId="0" xfId="7" applyNumberFormat="1" applyFont="1" applyAlignment="1">
      <alignment horizontal="center" vertical="center" wrapText="1"/>
    </xf>
    <xf numFmtId="0" fontId="37" fillId="0" borderId="156" xfId="7" applyBorder="1" applyAlignment="1">
      <alignment vertical="center"/>
    </xf>
    <xf numFmtId="49" fontId="39" fillId="0" borderId="155" xfId="7" applyNumberFormat="1" applyFont="1" applyBorder="1" applyAlignment="1">
      <alignment horizontal="left" vertical="center" wrapText="1"/>
    </xf>
    <xf numFmtId="49" fontId="39" fillId="0" borderId="158" xfId="7" applyNumberFormat="1" applyFont="1" applyBorder="1" applyAlignment="1">
      <alignment horizontal="left" vertical="center" wrapText="1"/>
    </xf>
    <xf numFmtId="0" fontId="45" fillId="0" borderId="159" xfId="7" applyFont="1" applyBorder="1" applyAlignment="1">
      <alignment horizontal="center" vertical="center" wrapText="1"/>
    </xf>
    <xf numFmtId="0" fontId="45" fillId="0" borderId="160" xfId="7" applyFont="1" applyBorder="1" applyAlignment="1">
      <alignment horizontal="center" vertical="center" wrapText="1"/>
    </xf>
    <xf numFmtId="49" fontId="48" fillId="0" borderId="161" xfId="7" applyNumberFormat="1" applyFont="1" applyBorder="1" applyAlignment="1">
      <alignment horizontal="center" vertical="center" wrapText="1"/>
    </xf>
    <xf numFmtId="0" fontId="37" fillId="0" borderId="161" xfId="7" applyBorder="1" applyAlignment="1">
      <alignment vertical="center"/>
    </xf>
    <xf numFmtId="0" fontId="37" fillId="0" borderId="162" xfId="7" applyBorder="1" applyAlignment="1">
      <alignment vertical="center"/>
    </xf>
    <xf numFmtId="0" fontId="38" fillId="0" borderId="0" xfId="7" applyFont="1" applyAlignment="1">
      <alignment horizontal="center" vertical="center"/>
    </xf>
    <xf numFmtId="49" fontId="44" fillId="0" borderId="152" xfId="7" applyNumberFormat="1" applyFont="1" applyBorder="1" applyAlignment="1">
      <alignment horizontal="right" vertical="center" wrapText="1"/>
    </xf>
    <xf numFmtId="49" fontId="39" fillId="0" borderId="152" xfId="7" applyNumberFormat="1" applyFont="1" applyBorder="1" applyAlignment="1">
      <alignment vertical="center"/>
    </xf>
    <xf numFmtId="49" fontId="42" fillId="0" borderId="152" xfId="7" applyNumberFormat="1" applyFont="1" applyBorder="1" applyAlignment="1">
      <alignment vertical="center"/>
    </xf>
    <xf numFmtId="49" fontId="47" fillId="0" borderId="152" xfId="7" applyNumberFormat="1" applyFont="1" applyBorder="1" applyAlignment="1">
      <alignment vertical="center"/>
    </xf>
    <xf numFmtId="4" fontId="46" fillId="0" borderId="157" xfId="7" applyNumberFormat="1" applyFont="1" applyBorder="1" applyAlignment="1">
      <alignment horizontal="center" vertical="center"/>
    </xf>
    <xf numFmtId="0" fontId="45" fillId="0" borderId="157" xfId="7" applyFont="1" applyBorder="1" applyAlignment="1">
      <alignment horizontal="center" vertical="center" wrapText="1"/>
    </xf>
    <xf numFmtId="49" fontId="44" fillId="0" borderId="156" xfId="7" applyNumberFormat="1" applyFont="1" applyBorder="1" applyAlignment="1">
      <alignment horizontal="center" vertical="center" wrapText="1"/>
    </xf>
    <xf numFmtId="0" fontId="42" fillId="0" borderId="0" xfId="7" applyFont="1" applyAlignment="1">
      <alignment horizontal="left" vertical="center"/>
    </xf>
    <xf numFmtId="49" fontId="39" fillId="0" borderId="161" xfId="7" applyNumberFormat="1" applyFont="1" applyBorder="1" applyAlignment="1">
      <alignment vertical="center" wrapText="1"/>
    </xf>
    <xf numFmtId="49" fontId="39" fillId="0" borderId="161" xfId="7" applyNumberFormat="1" applyFont="1" applyBorder="1" applyAlignment="1">
      <alignment vertical="center"/>
    </xf>
    <xf numFmtId="49" fontId="50" fillId="0" borderId="162" xfId="7" applyNumberFormat="1" applyFont="1" applyBorder="1" applyAlignment="1">
      <alignment vertical="center"/>
    </xf>
    <xf numFmtId="0" fontId="38" fillId="0" borderId="157" xfId="7" applyFont="1" applyBorder="1" applyAlignment="1">
      <alignment horizontal="center" vertical="center"/>
    </xf>
    <xf numFmtId="0" fontId="42" fillId="0" borderId="157" xfId="7" applyFont="1" applyBorder="1" applyAlignment="1">
      <alignment horizontal="left" vertical="center"/>
    </xf>
    <xf numFmtId="49" fontId="51" fillId="0" borderId="164" xfId="7" applyNumberFormat="1" applyFont="1" applyBorder="1" applyAlignment="1">
      <alignment vertical="center" wrapText="1"/>
    </xf>
    <xf numFmtId="49" fontId="51" fillId="0" borderId="164" xfId="7" applyNumberFormat="1" applyFont="1" applyBorder="1" applyAlignment="1">
      <alignment vertical="center"/>
    </xf>
    <xf numFmtId="49" fontId="50" fillId="0" borderId="165" xfId="7" applyNumberFormat="1" applyFont="1" applyBorder="1" applyAlignment="1">
      <alignment vertical="center"/>
    </xf>
    <xf numFmtId="0" fontId="44" fillId="0" borderId="157" xfId="7" applyFont="1" applyBorder="1" applyAlignment="1">
      <alignment horizontal="center" vertical="center"/>
    </xf>
    <xf numFmtId="49" fontId="42" fillId="0" borderId="165" xfId="7" applyNumberFormat="1" applyFont="1" applyBorder="1" applyAlignment="1">
      <alignment vertical="center" wrapText="1"/>
    </xf>
    <xf numFmtId="49" fontId="42" fillId="0" borderId="157" xfId="7" applyNumberFormat="1" applyFont="1" applyBorder="1" applyAlignment="1">
      <alignment vertical="center"/>
    </xf>
    <xf numFmtId="0" fontId="42" fillId="0" borderId="157" xfId="7" applyFont="1" applyBorder="1" applyAlignment="1">
      <alignment vertical="center"/>
    </xf>
    <xf numFmtId="0" fontId="44" fillId="0" borderId="166" xfId="7" applyFont="1" applyBorder="1" applyAlignment="1">
      <alignment horizontal="center" vertical="center"/>
    </xf>
    <xf numFmtId="0" fontId="37" fillId="0" borderId="151" xfId="7" applyBorder="1" applyAlignment="1">
      <alignment horizontal="center" vertical="center"/>
    </xf>
    <xf numFmtId="49" fontId="39" fillId="0" borderId="152" xfId="7" applyNumberFormat="1" applyFont="1" applyBorder="1" applyAlignment="1">
      <alignment vertical="center" wrapText="1"/>
    </xf>
    <xf numFmtId="49" fontId="39" fillId="0" borderId="167" xfId="7" applyNumberFormat="1" applyFont="1" applyBorder="1" applyAlignment="1">
      <alignment vertical="center"/>
    </xf>
    <xf numFmtId="49" fontId="40" fillId="0" borderId="153" xfId="7" applyNumberFormat="1" applyFont="1" applyBorder="1" applyAlignment="1">
      <alignment vertical="center"/>
    </xf>
    <xf numFmtId="0" fontId="44" fillId="0" borderId="168" xfId="7" applyFont="1" applyBorder="1" applyAlignment="1">
      <alignment horizontal="center" vertical="center"/>
    </xf>
    <xf numFmtId="0" fontId="37" fillId="0" borderId="168" xfId="7" applyBorder="1" applyAlignment="1">
      <alignment horizontal="right" vertical="center" indent="2"/>
    </xf>
    <xf numFmtId="0" fontId="39" fillId="0" borderId="158" xfId="7" applyFont="1" applyBorder="1" applyAlignment="1">
      <alignment vertical="center" wrapText="1"/>
    </xf>
    <xf numFmtId="49" fontId="39" fillId="0" borderId="169" xfId="7" applyNumberFormat="1" applyFont="1" applyBorder="1" applyAlignment="1">
      <alignment vertical="center"/>
    </xf>
    <xf numFmtId="49" fontId="39" fillId="0" borderId="42" xfId="7" applyNumberFormat="1" applyFont="1" applyBorder="1" applyAlignment="1">
      <alignment vertical="center"/>
    </xf>
    <xf numFmtId="49" fontId="40" fillId="0" borderId="156" xfId="7" applyNumberFormat="1" applyFont="1" applyBorder="1" applyAlignment="1">
      <alignment vertical="center"/>
    </xf>
    <xf numFmtId="0" fontId="37" fillId="0" borderId="166" xfId="7" applyBorder="1" applyAlignment="1">
      <alignment horizontal="right" vertical="center" indent="2"/>
    </xf>
    <xf numFmtId="0" fontId="39" fillId="0" borderId="170" xfId="7" applyFont="1" applyBorder="1" applyAlignment="1">
      <alignment vertical="center" wrapText="1"/>
    </xf>
    <xf numFmtId="49" fontId="39" fillId="0" borderId="171" xfId="7" applyNumberFormat="1" applyFont="1" applyBorder="1" applyAlignment="1">
      <alignment vertical="center"/>
    </xf>
    <xf numFmtId="49" fontId="39" fillId="0" borderId="94" xfId="7" applyNumberFormat="1" applyFont="1" applyBorder="1" applyAlignment="1">
      <alignment vertical="center"/>
    </xf>
    <xf numFmtId="0" fontId="44" fillId="0" borderId="172" xfId="7" applyFont="1" applyBorder="1" applyAlignment="1">
      <alignment horizontal="center" vertical="center"/>
    </xf>
    <xf numFmtId="0" fontId="37" fillId="0" borderId="172" xfId="7" applyBorder="1" applyAlignment="1">
      <alignment horizontal="center" vertical="center"/>
    </xf>
    <xf numFmtId="49" fontId="39" fillId="0" borderId="173" xfId="7" applyNumberFormat="1" applyFont="1" applyBorder="1" applyAlignment="1">
      <alignment vertical="center" wrapText="1"/>
    </xf>
    <xf numFmtId="49" fontId="39" fillId="0" borderId="174" xfId="7" applyNumberFormat="1" applyFont="1" applyBorder="1" applyAlignment="1">
      <alignment vertical="center"/>
    </xf>
    <xf numFmtId="49" fontId="39" fillId="0" borderId="40" xfId="7" applyNumberFormat="1" applyFont="1" applyBorder="1" applyAlignment="1">
      <alignment vertical="center"/>
    </xf>
    <xf numFmtId="0" fontId="37" fillId="0" borderId="168" xfId="7" applyBorder="1" applyAlignment="1">
      <alignment horizontal="right" vertical="center" indent="3"/>
    </xf>
    <xf numFmtId="0" fontId="39" fillId="0" borderId="176" xfId="7" applyFont="1" applyBorder="1" applyAlignment="1">
      <alignment vertical="center" wrapText="1"/>
    </xf>
    <xf numFmtId="0" fontId="37" fillId="0" borderId="166" xfId="7" applyBorder="1" applyAlignment="1">
      <alignment horizontal="right" vertical="center"/>
    </xf>
    <xf numFmtId="0" fontId="39" fillId="0" borderId="177" xfId="7" applyFont="1" applyBorder="1" applyAlignment="1">
      <alignment vertical="center" wrapText="1"/>
    </xf>
    <xf numFmtId="0" fontId="39" fillId="0" borderId="178" xfId="7" applyFont="1" applyBorder="1" applyAlignment="1">
      <alignment vertical="center" wrapText="1"/>
    </xf>
    <xf numFmtId="0" fontId="39" fillId="0" borderId="180" xfId="7" applyFont="1" applyBorder="1" applyAlignment="1">
      <alignment horizontal="left" vertical="center" wrapText="1"/>
    </xf>
    <xf numFmtId="0" fontId="44" fillId="0" borderId="181" xfId="7" applyFont="1" applyBorder="1" applyAlignment="1">
      <alignment horizontal="center" vertical="center"/>
    </xf>
    <xf numFmtId="0" fontId="39" fillId="0" borderId="185" xfId="7" applyFont="1" applyBorder="1" applyAlignment="1">
      <alignment vertical="center" wrapText="1"/>
    </xf>
    <xf numFmtId="0" fontId="44" fillId="0" borderId="186" xfId="7" applyFont="1" applyBorder="1" applyAlignment="1">
      <alignment horizontal="center" vertical="center"/>
    </xf>
    <xf numFmtId="0" fontId="52" fillId="0" borderId="0" xfId="7" applyFont="1" applyAlignment="1">
      <alignment vertical="center"/>
    </xf>
    <xf numFmtId="49" fontId="39" fillId="0" borderId="191" xfId="7" applyNumberFormat="1" applyFont="1" applyBorder="1" applyAlignment="1">
      <alignment vertical="center" wrapText="1"/>
    </xf>
    <xf numFmtId="49" fontId="43" fillId="0" borderId="169" xfId="7" applyNumberFormat="1" applyFont="1" applyBorder="1" applyAlignment="1">
      <alignment vertical="center"/>
    </xf>
    <xf numFmtId="49" fontId="43" fillId="0" borderId="42" xfId="7" applyNumberFormat="1" applyFont="1" applyBorder="1" applyAlignment="1">
      <alignment vertical="center"/>
    </xf>
    <xf numFmtId="49" fontId="53" fillId="0" borderId="156" xfId="7" applyNumberFormat="1" applyFont="1" applyBorder="1" applyAlignment="1">
      <alignment vertical="center"/>
    </xf>
    <xf numFmtId="49" fontId="43" fillId="0" borderId="171" xfId="7" applyNumberFormat="1" applyFont="1" applyBorder="1" applyAlignment="1">
      <alignment vertical="center"/>
    </xf>
    <xf numFmtId="49" fontId="43" fillId="0" borderId="94" xfId="7" applyNumberFormat="1" applyFont="1" applyBorder="1" applyAlignment="1">
      <alignment vertical="center"/>
    </xf>
    <xf numFmtId="0" fontId="39" fillId="0" borderId="177" xfId="7" applyFont="1" applyBorder="1" applyAlignment="1">
      <alignment horizontal="left" vertical="center" wrapText="1" indent="2"/>
    </xf>
    <xf numFmtId="0" fontId="39" fillId="0" borderId="180" xfId="7" applyFont="1" applyBorder="1" applyAlignment="1">
      <alignment vertical="center" wrapText="1"/>
    </xf>
    <xf numFmtId="0" fontId="44" fillId="0" borderId="192" xfId="7" applyFont="1" applyBorder="1" applyAlignment="1">
      <alignment horizontal="center" vertical="center"/>
    </xf>
    <xf numFmtId="49" fontId="39" fillId="0" borderId="193" xfId="7" applyNumberFormat="1" applyFont="1" applyBorder="1" applyAlignment="1">
      <alignment vertical="center" wrapText="1"/>
    </xf>
    <xf numFmtId="49" fontId="39" fillId="0" borderId="194" xfId="7" applyNumberFormat="1" applyFont="1" applyBorder="1" applyAlignment="1">
      <alignment vertical="center"/>
    </xf>
    <xf numFmtId="0" fontId="44" fillId="0" borderId="195" xfId="7" applyFont="1" applyBorder="1" applyAlignment="1">
      <alignment horizontal="center" vertical="center"/>
    </xf>
    <xf numFmtId="0" fontId="37" fillId="0" borderId="195" xfId="7" applyBorder="1" applyAlignment="1">
      <alignment horizontal="left" vertical="center" indent="1"/>
    </xf>
    <xf numFmtId="49" fontId="39" fillId="0" borderId="12" xfId="7" applyNumberFormat="1" applyFont="1" applyBorder="1" applyAlignment="1">
      <alignment vertical="center" wrapText="1"/>
    </xf>
    <xf numFmtId="0" fontId="39" fillId="0" borderId="12" xfId="7" applyFont="1" applyBorder="1" applyAlignment="1">
      <alignment vertical="center"/>
    </xf>
    <xf numFmtId="49" fontId="39" fillId="0" borderId="11" xfId="7" applyNumberFormat="1" applyFont="1" applyBorder="1" applyAlignment="1">
      <alignment vertical="center"/>
    </xf>
    <xf numFmtId="0" fontId="42" fillId="0" borderId="154" xfId="7" applyFont="1" applyBorder="1" applyAlignment="1">
      <alignment horizontal="left" vertical="center"/>
    </xf>
    <xf numFmtId="49" fontId="42" fillId="0" borderId="162" xfId="7" applyNumberFormat="1" applyFont="1" applyBorder="1" applyAlignment="1">
      <alignment vertical="center"/>
    </xf>
    <xf numFmtId="0" fontId="44" fillId="0" borderId="151" xfId="7" applyFont="1" applyBorder="1" applyAlignment="1">
      <alignment horizontal="center" vertical="center"/>
    </xf>
    <xf numFmtId="49" fontId="39" fillId="0" borderId="152" xfId="7" applyNumberFormat="1" applyFont="1" applyBorder="1" applyAlignment="1">
      <alignment horizontal="left" vertical="center" wrapText="1" indent="2"/>
    </xf>
    <xf numFmtId="49" fontId="39" fillId="0" borderId="196" xfId="7" applyNumberFormat="1" applyFont="1" applyBorder="1" applyAlignment="1">
      <alignment horizontal="left" vertical="center" indent="2"/>
    </xf>
    <xf numFmtId="49" fontId="43" fillId="0" borderId="153" xfId="7" applyNumberFormat="1" applyFont="1" applyBorder="1" applyAlignment="1">
      <alignment vertical="center"/>
    </xf>
    <xf numFmtId="49" fontId="53" fillId="0" borderId="153" xfId="7" applyNumberFormat="1" applyFont="1" applyBorder="1" applyAlignment="1">
      <alignment vertical="center"/>
    </xf>
    <xf numFmtId="0" fontId="46" fillId="0" borderId="166" xfId="7" applyFont="1" applyBorder="1" applyAlignment="1">
      <alignment horizontal="right" vertical="center"/>
    </xf>
    <xf numFmtId="49" fontId="39" fillId="0" borderId="0" xfId="7" applyNumberFormat="1" applyFont="1" applyAlignment="1">
      <alignment horizontal="left" vertical="center" wrapText="1" indent="2"/>
    </xf>
    <xf numFmtId="49" fontId="39" fillId="0" borderId="171" xfId="7" applyNumberFormat="1" applyFont="1" applyBorder="1" applyAlignment="1">
      <alignment horizontal="left" vertical="center" indent="2"/>
    </xf>
    <xf numFmtId="49" fontId="43" fillId="0" borderId="156" xfId="7" applyNumberFormat="1" applyFont="1" applyBorder="1" applyAlignment="1">
      <alignment vertical="center"/>
    </xf>
    <xf numFmtId="49" fontId="39" fillId="0" borderId="197" xfId="7" applyNumberFormat="1" applyFont="1" applyBorder="1" applyAlignment="1">
      <alignment vertical="center"/>
    </xf>
    <xf numFmtId="0" fontId="44" fillId="0" borderId="198" xfId="7" applyFont="1" applyBorder="1" applyAlignment="1">
      <alignment horizontal="center" vertical="center"/>
    </xf>
    <xf numFmtId="49" fontId="39" fillId="0" borderId="199" xfId="7" applyNumberFormat="1" applyFont="1" applyBorder="1" applyAlignment="1">
      <alignment vertical="center"/>
    </xf>
    <xf numFmtId="49" fontId="39" fillId="0" borderId="156" xfId="7" applyNumberFormat="1" applyFont="1" applyBorder="1" applyAlignment="1">
      <alignment vertical="center"/>
    </xf>
    <xf numFmtId="49" fontId="39" fillId="0" borderId="200" xfId="7" applyNumberFormat="1" applyFont="1" applyBorder="1" applyAlignment="1">
      <alignment vertical="center" wrapText="1"/>
    </xf>
    <xf numFmtId="49" fontId="39" fillId="0" borderId="12" xfId="7" applyNumberFormat="1" applyFont="1" applyBorder="1" applyAlignment="1">
      <alignment vertical="center"/>
    </xf>
    <xf numFmtId="49" fontId="39" fillId="0" borderId="201" xfId="7" applyNumberFormat="1" applyFont="1" applyBorder="1" applyAlignment="1">
      <alignment vertical="center"/>
    </xf>
    <xf numFmtId="49" fontId="39" fillId="0" borderId="11" xfId="7" applyNumberFormat="1" applyFont="1" applyBorder="1" applyAlignment="1">
      <alignment vertical="center" wrapText="1"/>
    </xf>
    <xf numFmtId="49" fontId="39" fillId="0" borderId="202" xfId="7" applyNumberFormat="1" applyFont="1" applyBorder="1" applyAlignment="1">
      <alignment vertical="center"/>
    </xf>
    <xf numFmtId="49" fontId="39" fillId="0" borderId="203" xfId="7" applyNumberFormat="1" applyFont="1" applyBorder="1" applyAlignment="1">
      <alignment vertical="center"/>
    </xf>
    <xf numFmtId="0" fontId="39" fillId="0" borderId="204" xfId="7" applyFont="1" applyBorder="1" applyAlignment="1">
      <alignment vertical="center"/>
    </xf>
    <xf numFmtId="49" fontId="39" fillId="0" borderId="205" xfId="7" applyNumberFormat="1" applyFont="1" applyBorder="1" applyAlignment="1">
      <alignment vertical="center"/>
    </xf>
    <xf numFmtId="49" fontId="39" fillId="0" borderId="206" xfId="7" applyNumberFormat="1" applyFont="1" applyBorder="1" applyAlignment="1">
      <alignment vertical="center" wrapText="1"/>
    </xf>
    <xf numFmtId="49" fontId="39" fillId="0" borderId="207" xfId="7" applyNumberFormat="1" applyFont="1" applyBorder="1" applyAlignment="1">
      <alignment vertical="center"/>
    </xf>
    <xf numFmtId="0" fontId="46" fillId="0" borderId="168" xfId="7" applyFont="1" applyBorder="1" applyAlignment="1">
      <alignment horizontal="right" vertical="center"/>
    </xf>
    <xf numFmtId="49" fontId="39" fillId="0" borderId="0" xfId="7" applyNumberFormat="1" applyFont="1" applyAlignment="1">
      <alignment vertical="center" wrapText="1"/>
    </xf>
    <xf numFmtId="49" fontId="39" fillId="0" borderId="158" xfId="7" applyNumberFormat="1" applyFont="1" applyBorder="1" applyAlignment="1">
      <alignment vertical="center"/>
    </xf>
    <xf numFmtId="49" fontId="39" fillId="0" borderId="199" xfId="7" applyNumberFormat="1" applyFont="1" applyBorder="1" applyAlignment="1">
      <alignment vertical="center" wrapText="1"/>
    </xf>
    <xf numFmtId="49" fontId="39" fillId="0" borderId="208" xfId="7" applyNumberFormat="1" applyFont="1" applyBorder="1" applyAlignment="1">
      <alignment vertical="center"/>
    </xf>
    <xf numFmtId="49" fontId="39" fillId="0" borderId="209" xfId="7" applyNumberFormat="1" applyFont="1" applyBorder="1" applyAlignment="1">
      <alignment vertical="center"/>
    </xf>
    <xf numFmtId="0" fontId="37" fillId="0" borderId="168" xfId="7" applyBorder="1" applyAlignment="1">
      <alignment horizontal="right" vertical="center"/>
    </xf>
    <xf numFmtId="49" fontId="39" fillId="0" borderId="174" xfId="7" applyNumberFormat="1" applyFont="1" applyBorder="1" applyAlignment="1">
      <alignment vertical="center" wrapText="1"/>
    </xf>
    <xf numFmtId="49" fontId="39" fillId="0" borderId="210" xfId="7" applyNumberFormat="1" applyFont="1" applyBorder="1" applyAlignment="1">
      <alignment vertical="center" wrapText="1"/>
    </xf>
    <xf numFmtId="49" fontId="39" fillId="0" borderId="211" xfId="7" applyNumberFormat="1" applyFont="1" applyBorder="1" applyAlignment="1">
      <alignment vertical="center"/>
    </xf>
    <xf numFmtId="0" fontId="46" fillId="0" borderId="0" xfId="7" applyFont="1" applyAlignment="1">
      <alignment vertical="center"/>
    </xf>
    <xf numFmtId="0" fontId="37" fillId="0" borderId="166" xfId="7" applyBorder="1" applyAlignment="1">
      <alignment horizontal="center" vertical="center"/>
    </xf>
    <xf numFmtId="49" fontId="39" fillId="0" borderId="171" xfId="7" applyNumberFormat="1" applyFont="1" applyBorder="1" applyAlignment="1">
      <alignment vertical="center" wrapText="1"/>
    </xf>
    <xf numFmtId="49" fontId="39" fillId="0" borderId="212" xfId="7" applyNumberFormat="1" applyFont="1" applyBorder="1" applyAlignment="1">
      <alignment vertical="center"/>
    </xf>
    <xf numFmtId="49" fontId="39" fillId="0" borderId="213" xfId="7" applyNumberFormat="1" applyFont="1" applyBorder="1" applyAlignment="1">
      <alignment vertical="center"/>
    </xf>
    <xf numFmtId="49" fontId="39" fillId="0" borderId="214" xfId="7" applyNumberFormat="1" applyFont="1" applyBorder="1" applyAlignment="1">
      <alignment vertical="center"/>
    </xf>
    <xf numFmtId="0" fontId="44" fillId="0" borderId="215" xfId="7" applyFont="1" applyBorder="1" applyAlignment="1">
      <alignment horizontal="center" vertical="center"/>
    </xf>
    <xf numFmtId="0" fontId="37" fillId="0" borderId="215" xfId="7" applyBorder="1" applyAlignment="1">
      <alignment horizontal="right" vertical="center"/>
    </xf>
    <xf numFmtId="49" fontId="39" fillId="0" borderId="216" xfId="7" applyNumberFormat="1" applyFont="1" applyBorder="1" applyAlignment="1">
      <alignment vertical="center"/>
    </xf>
    <xf numFmtId="49" fontId="39" fillId="0" borderId="217" xfId="7" applyNumberFormat="1" applyFont="1" applyBorder="1" applyAlignment="1">
      <alignment vertical="center"/>
    </xf>
    <xf numFmtId="0" fontId="44" fillId="0" borderId="218" xfId="7" applyFont="1" applyBorder="1" applyAlignment="1">
      <alignment horizontal="center" vertical="center"/>
    </xf>
    <xf numFmtId="49" fontId="39" fillId="0" borderId="219" xfId="7" applyNumberFormat="1" applyFont="1" applyBorder="1" applyAlignment="1">
      <alignment vertical="center"/>
    </xf>
    <xf numFmtId="0" fontId="39" fillId="0" borderId="171" xfId="7" applyFont="1" applyBorder="1" applyAlignment="1">
      <alignment vertical="center"/>
    </xf>
    <xf numFmtId="0" fontId="55" fillId="0" borderId="0" xfId="7" applyFont="1" applyAlignment="1">
      <alignment vertical="center"/>
    </xf>
    <xf numFmtId="0" fontId="39" fillId="0" borderId="0" xfId="7" applyFont="1" applyAlignment="1">
      <alignment vertical="center"/>
    </xf>
    <xf numFmtId="0" fontId="44" fillId="0" borderId="220" xfId="7" applyFont="1" applyBorder="1" applyAlignment="1">
      <alignment horizontal="center" vertical="center"/>
    </xf>
    <xf numFmtId="0" fontId="37" fillId="0" borderId="151" xfId="7" applyBorder="1" applyAlignment="1">
      <alignment horizontal="left" vertical="center" indent="1"/>
    </xf>
    <xf numFmtId="0" fontId="56" fillId="0" borderId="0" xfId="7" applyFont="1" applyAlignment="1">
      <alignment vertical="center"/>
    </xf>
    <xf numFmtId="0" fontId="57" fillId="0" borderId="166" xfId="7" applyFont="1" applyBorder="1" applyAlignment="1">
      <alignment horizontal="center" vertical="center"/>
    </xf>
    <xf numFmtId="0" fontId="46" fillId="0" borderId="166" xfId="7" applyFont="1" applyBorder="1" applyAlignment="1">
      <alignment horizontal="left" vertical="center" indent="1"/>
    </xf>
    <xf numFmtId="49" fontId="58" fillId="0" borderId="156" xfId="7" applyNumberFormat="1" applyFont="1" applyBorder="1" applyAlignment="1">
      <alignment vertical="center"/>
    </xf>
    <xf numFmtId="0" fontId="37" fillId="0" borderId="166" xfId="7" applyBorder="1" applyAlignment="1">
      <alignment horizontal="left" vertical="center" indent="1"/>
    </xf>
    <xf numFmtId="0" fontId="44" fillId="0" borderId="154" xfId="7" applyFont="1" applyBorder="1" applyAlignment="1">
      <alignment horizontal="center" vertical="center"/>
    </xf>
    <xf numFmtId="0" fontId="44" fillId="0" borderId="157" xfId="7" applyFont="1" applyBorder="1" applyAlignment="1">
      <alignment horizontal="center" vertical="center" wrapText="1"/>
    </xf>
    <xf numFmtId="0" fontId="44" fillId="0" borderId="157" xfId="7" applyFont="1" applyBorder="1" applyAlignment="1">
      <alignment horizontal="left" vertical="center"/>
    </xf>
    <xf numFmtId="49" fontId="44" fillId="0" borderId="164" xfId="7" applyNumberFormat="1" applyFont="1" applyBorder="1" applyAlignment="1">
      <alignment vertical="center" wrapText="1"/>
    </xf>
    <xf numFmtId="49" fontId="44" fillId="0" borderId="164" xfId="7" applyNumberFormat="1" applyFont="1" applyBorder="1" applyAlignment="1">
      <alignment vertical="center"/>
    </xf>
    <xf numFmtId="49" fontId="44" fillId="0" borderId="165" xfId="7" applyNumberFormat="1" applyFont="1" applyBorder="1" applyAlignment="1">
      <alignment vertical="center"/>
    </xf>
    <xf numFmtId="0" fontId="45" fillId="0" borderId="166" xfId="7" applyFont="1" applyBorder="1" applyAlignment="1">
      <alignment horizontal="center" wrapText="1"/>
    </xf>
    <xf numFmtId="0" fontId="39" fillId="0" borderId="221" xfId="7" applyFont="1" applyBorder="1" applyAlignment="1">
      <alignment horizontal="center" vertical="center" wrapText="1"/>
    </xf>
    <xf numFmtId="0" fontId="39" fillId="0" borderId="0" xfId="7" applyFont="1"/>
    <xf numFmtId="0" fontId="46" fillId="0" borderId="163" xfId="7" applyFont="1" applyBorder="1" applyAlignment="1">
      <alignment horizontal="center"/>
    </xf>
    <xf numFmtId="0" fontId="59" fillId="0" borderId="222" xfId="7" applyFont="1" applyBorder="1" applyAlignment="1">
      <alignment horizontal="center" vertical="center"/>
    </xf>
    <xf numFmtId="0" fontId="39" fillId="0" borderId="161" xfId="7" applyFont="1" applyBorder="1" applyAlignment="1">
      <alignment horizontal="left"/>
    </xf>
    <xf numFmtId="0" fontId="39" fillId="0" borderId="161" xfId="7" applyFont="1" applyBorder="1"/>
    <xf numFmtId="49" fontId="39" fillId="0" borderId="161" xfId="7" applyNumberFormat="1" applyFont="1" applyBorder="1"/>
    <xf numFmtId="49" fontId="50" fillId="0" borderId="162" xfId="7" applyNumberFormat="1" applyFont="1" applyBorder="1" applyAlignment="1">
      <alignment horizontal="left" vertical="center"/>
    </xf>
    <xf numFmtId="0" fontId="37" fillId="0" borderId="0" xfId="7" applyAlignment="1">
      <alignment horizontal="left" vertical="center"/>
    </xf>
    <xf numFmtId="0" fontId="39" fillId="0" borderId="0" xfId="7" applyFont="1" applyAlignment="1">
      <alignment horizontal="left" vertical="center"/>
    </xf>
    <xf numFmtId="49" fontId="50" fillId="0" borderId="0" xfId="7" applyNumberFormat="1" applyFont="1" applyAlignment="1">
      <alignment horizontal="left" vertical="center"/>
    </xf>
    <xf numFmtId="0" fontId="39" fillId="0" borderId="223" xfId="7" applyFont="1" applyBorder="1" applyAlignment="1">
      <alignment horizontal="left" vertical="center"/>
    </xf>
    <xf numFmtId="0" fontId="38" fillId="0" borderId="53" xfId="7" applyFont="1" applyBorder="1" applyAlignment="1">
      <alignment horizontal="center" vertical="center"/>
    </xf>
    <xf numFmtId="0" fontId="44" fillId="0" borderId="224" xfId="7" applyFont="1" applyBorder="1" applyAlignment="1">
      <alignment horizontal="left" vertical="center"/>
    </xf>
    <xf numFmtId="49" fontId="50" fillId="0" borderId="0" xfId="7" applyNumberFormat="1" applyFont="1" applyAlignment="1">
      <alignment horizontal="center" wrapText="1"/>
    </xf>
    <xf numFmtId="0" fontId="51" fillId="0" borderId="0" xfId="7" applyFont="1"/>
    <xf numFmtId="0" fontId="39" fillId="0" borderId="161" xfId="7" applyFont="1" applyBorder="1" applyAlignment="1">
      <alignment vertical="center"/>
    </xf>
    <xf numFmtId="0" fontId="39" fillId="0" borderId="154" xfId="7" applyFont="1" applyBorder="1" applyAlignment="1">
      <alignment horizontal="left" vertical="center"/>
    </xf>
    <xf numFmtId="49" fontId="50" fillId="0" borderId="156" xfId="7" applyNumberFormat="1" applyFont="1" applyBorder="1" applyAlignment="1">
      <alignment vertical="center"/>
    </xf>
    <xf numFmtId="0" fontId="37" fillId="0" borderId="166" xfId="7" applyBorder="1" applyAlignment="1">
      <alignment horizontal="center" vertical="center" wrapText="1"/>
    </xf>
    <xf numFmtId="0" fontId="45" fillId="0" borderId="166" xfId="7" applyFont="1" applyBorder="1" applyAlignment="1">
      <alignment horizontal="center" vertical="center" wrapText="1"/>
    </xf>
    <xf numFmtId="49" fontId="38" fillId="0" borderId="164" xfId="7" applyNumberFormat="1" applyFont="1" applyBorder="1" applyAlignment="1">
      <alignment vertical="center"/>
    </xf>
    <xf numFmtId="49" fontId="38" fillId="0" borderId="164" xfId="7" applyNumberFormat="1" applyFont="1" applyBorder="1" applyAlignment="1">
      <alignment vertical="center" wrapText="1"/>
    </xf>
    <xf numFmtId="0" fontId="39" fillId="0" borderId="22" xfId="7" applyFont="1" applyBorder="1" applyAlignment="1">
      <alignment vertical="center"/>
    </xf>
    <xf numFmtId="49" fontId="39" fillId="0" borderId="22" xfId="7" applyNumberFormat="1" applyFont="1" applyBorder="1" applyAlignment="1">
      <alignment vertical="center" wrapText="1"/>
    </xf>
    <xf numFmtId="0" fontId="37" fillId="0" borderId="225" xfId="7" applyBorder="1" applyAlignment="1">
      <alignment horizontal="left" vertical="center"/>
    </xf>
    <xf numFmtId="49" fontId="39" fillId="0" borderId="18" xfId="7" applyNumberFormat="1" applyFont="1" applyBorder="1" applyAlignment="1">
      <alignment vertical="center"/>
    </xf>
    <xf numFmtId="0" fontId="37" fillId="0" borderId="226" xfId="7" applyBorder="1" applyAlignment="1">
      <alignment horizontal="center" vertical="center"/>
    </xf>
    <xf numFmtId="49" fontId="39" fillId="0" borderId="173" xfId="7" applyNumberFormat="1" applyFont="1" applyBorder="1" applyAlignment="1">
      <alignment vertical="center"/>
    </xf>
    <xf numFmtId="0" fontId="39" fillId="0" borderId="0" xfId="7" applyFont="1" applyAlignment="1">
      <alignment vertical="center" wrapText="1"/>
    </xf>
    <xf numFmtId="0" fontId="46" fillId="0" borderId="166" xfId="7" applyFont="1" applyBorder="1" applyAlignment="1">
      <alignment horizontal="center" vertical="center"/>
    </xf>
    <xf numFmtId="0" fontId="37" fillId="0" borderId="166" xfId="7" applyBorder="1" applyAlignment="1">
      <alignment horizontal="left" vertical="center"/>
    </xf>
    <xf numFmtId="0" fontId="37" fillId="0" borderId="195" xfId="7" applyBorder="1" applyAlignment="1">
      <alignment horizontal="left" vertical="center"/>
    </xf>
    <xf numFmtId="49" fontId="39" fillId="0" borderId="227" xfId="7" applyNumberFormat="1" applyFont="1" applyBorder="1" applyAlignment="1">
      <alignment vertical="center"/>
    </xf>
    <xf numFmtId="0" fontId="39" fillId="0" borderId="228" xfId="7" applyFont="1" applyBorder="1" applyAlignment="1">
      <alignment vertical="center"/>
    </xf>
    <xf numFmtId="49" fontId="39" fillId="0" borderId="228" xfId="7" applyNumberFormat="1" applyFont="1" applyBorder="1" applyAlignment="1">
      <alignment vertical="center" wrapText="1"/>
    </xf>
    <xf numFmtId="0" fontId="37" fillId="0" borderId="229" xfId="7" applyBorder="1" applyAlignment="1">
      <alignment horizontal="left" vertical="center"/>
    </xf>
    <xf numFmtId="49" fontId="42" fillId="0" borderId="165" xfId="7" applyNumberFormat="1" applyFont="1" applyBorder="1" applyAlignment="1">
      <alignment vertical="center"/>
    </xf>
    <xf numFmtId="49" fontId="39" fillId="0" borderId="230" xfId="7" applyNumberFormat="1" applyFont="1" applyBorder="1" applyAlignment="1">
      <alignment vertical="center"/>
    </xf>
    <xf numFmtId="0" fontId="37" fillId="0" borderId="154" xfId="7" applyBorder="1" applyAlignment="1">
      <alignment horizontal="left" vertical="center"/>
    </xf>
    <xf numFmtId="49" fontId="46" fillId="0" borderId="166" xfId="7" applyNumberFormat="1" applyFont="1" applyBorder="1" applyAlignment="1">
      <alignment horizontal="right" vertical="center" wrapText="1"/>
    </xf>
    <xf numFmtId="49" fontId="39" fillId="0" borderId="231" xfId="7" applyNumberFormat="1" applyFont="1" applyBorder="1" applyAlignment="1">
      <alignment vertical="center"/>
    </xf>
    <xf numFmtId="49" fontId="46" fillId="0" borderId="226" xfId="7" applyNumberFormat="1" applyFont="1" applyBorder="1" applyAlignment="1">
      <alignment horizontal="right" vertical="center" wrapText="1"/>
    </xf>
    <xf numFmtId="0" fontId="39" fillId="0" borderId="13" xfId="7" applyFont="1" applyBorder="1" applyAlignment="1">
      <alignment vertical="center"/>
    </xf>
    <xf numFmtId="49" fontId="39" fillId="0" borderId="219" xfId="7" applyNumberFormat="1" applyFont="1" applyBorder="1" applyAlignment="1">
      <alignment vertical="center" wrapText="1"/>
    </xf>
    <xf numFmtId="0" fontId="46" fillId="0" borderId="218" xfId="7" applyFont="1" applyBorder="1" applyAlignment="1">
      <alignment horizontal="right" vertical="center"/>
    </xf>
    <xf numFmtId="49" fontId="39" fillId="0" borderId="217" xfId="7" applyNumberFormat="1" applyFont="1" applyBorder="1" applyAlignment="1">
      <alignment vertical="center" wrapText="1"/>
    </xf>
    <xf numFmtId="49" fontId="39" fillId="0" borderId="216" xfId="7" applyNumberFormat="1" applyFont="1" applyBorder="1" applyAlignment="1">
      <alignment vertical="center" wrapText="1"/>
    </xf>
    <xf numFmtId="0" fontId="37" fillId="0" borderId="218" xfId="7" applyBorder="1" applyAlignment="1">
      <alignment horizontal="right" vertical="center"/>
    </xf>
    <xf numFmtId="49" fontId="39" fillId="0" borderId="18" xfId="7" applyNumberFormat="1" applyFont="1" applyBorder="1" applyAlignment="1">
      <alignment vertical="center" wrapText="1"/>
    </xf>
    <xf numFmtId="0" fontId="37" fillId="0" borderId="226" xfId="7" applyBorder="1" applyAlignment="1">
      <alignment horizontal="right" vertical="center"/>
    </xf>
    <xf numFmtId="49" fontId="42" fillId="0" borderId="202" xfId="7" applyNumberFormat="1" applyFont="1" applyBorder="1" applyAlignment="1">
      <alignment vertical="center"/>
    </xf>
    <xf numFmtId="0" fontId="39" fillId="0" borderId="232" xfId="7" applyFont="1" applyBorder="1" applyAlignment="1">
      <alignment vertical="center"/>
    </xf>
    <xf numFmtId="49" fontId="39" fillId="0" borderId="232" xfId="7" applyNumberFormat="1" applyFont="1" applyBorder="1" applyAlignment="1">
      <alignment vertical="center"/>
    </xf>
    <xf numFmtId="49" fontId="39" fillId="0" borderId="233" xfId="7" applyNumberFormat="1" applyFont="1" applyBorder="1" applyAlignment="1">
      <alignment vertical="center" wrapText="1"/>
    </xf>
    <xf numFmtId="49" fontId="40" fillId="0" borderId="234" xfId="7" applyNumberFormat="1" applyFont="1" applyBorder="1" applyAlignment="1">
      <alignment vertical="center"/>
    </xf>
    <xf numFmtId="49" fontId="39" fillId="0" borderId="235" xfId="7" applyNumberFormat="1" applyFont="1" applyBorder="1" applyAlignment="1">
      <alignment vertical="center"/>
    </xf>
    <xf numFmtId="0" fontId="39" fillId="0" borderId="156" xfId="7" applyFont="1" applyBorder="1" applyAlignment="1">
      <alignment vertical="center"/>
    </xf>
    <xf numFmtId="49" fontId="39" fillId="0" borderId="94" xfId="7" applyNumberFormat="1" applyFont="1" applyBorder="1" applyAlignment="1">
      <alignment vertical="center" wrapText="1"/>
    </xf>
    <xf numFmtId="49" fontId="40" fillId="0" borderId="236" xfId="7" applyNumberFormat="1" applyFont="1" applyBorder="1" applyAlignment="1">
      <alignment vertical="center"/>
    </xf>
    <xf numFmtId="49" fontId="39" fillId="0" borderId="237" xfId="7" applyNumberFormat="1" applyFont="1" applyBorder="1" applyAlignment="1">
      <alignment vertical="center"/>
    </xf>
    <xf numFmtId="0" fontId="39" fillId="0" borderId="201" xfId="7" applyFont="1" applyBorder="1" applyAlignment="1">
      <alignment vertical="center"/>
    </xf>
    <xf numFmtId="49" fontId="39" fillId="0" borderId="238" xfId="7" applyNumberFormat="1" applyFont="1" applyBorder="1" applyAlignment="1">
      <alignment vertical="center" wrapText="1"/>
    </xf>
    <xf numFmtId="49" fontId="42" fillId="0" borderId="232" xfId="7" applyNumberFormat="1" applyFont="1" applyBorder="1" applyAlignment="1">
      <alignment vertical="center"/>
    </xf>
    <xf numFmtId="49" fontId="39" fillId="0" borderId="232" xfId="7" applyNumberFormat="1" applyFont="1" applyBorder="1" applyAlignment="1">
      <alignment vertical="center" wrapText="1"/>
    </xf>
    <xf numFmtId="0" fontId="42" fillId="0" borderId="239" xfId="7" applyFont="1" applyBorder="1" applyAlignment="1">
      <alignment horizontal="left" vertical="center"/>
    </xf>
    <xf numFmtId="0" fontId="46" fillId="0" borderId="156" xfId="7" applyFont="1" applyBorder="1" applyAlignment="1">
      <alignment horizontal="left" vertical="center"/>
    </xf>
    <xf numFmtId="49" fontId="42" fillId="0" borderId="241" xfId="7" applyNumberFormat="1" applyFont="1" applyBorder="1" applyAlignment="1">
      <alignment vertical="center"/>
    </xf>
    <xf numFmtId="49" fontId="39" fillId="0" borderId="242" xfId="7" applyNumberFormat="1" applyFont="1" applyBorder="1" applyAlignment="1">
      <alignment vertical="center" wrapText="1"/>
    </xf>
    <xf numFmtId="0" fontId="42" fillId="0" borderId="244" xfId="7" applyFont="1" applyBorder="1" applyAlignment="1">
      <alignment horizontal="left" vertical="center"/>
    </xf>
    <xf numFmtId="0" fontId="37" fillId="0" borderId="246" xfId="7" applyBorder="1" applyAlignment="1">
      <alignment vertical="center"/>
    </xf>
    <xf numFmtId="0" fontId="42" fillId="0" borderId="247" xfId="7" applyFont="1" applyBorder="1" applyAlignment="1">
      <alignment horizontal="center" vertical="center"/>
    </xf>
    <xf numFmtId="0" fontId="46" fillId="0" borderId="156" xfId="7" applyFont="1" applyBorder="1" applyAlignment="1">
      <alignment horizontal="center" vertical="center" wrapText="1"/>
    </xf>
    <xf numFmtId="0" fontId="37" fillId="0" borderId="156" xfId="7" applyBorder="1" applyAlignment="1">
      <alignment horizontal="right" vertical="center"/>
    </xf>
    <xf numFmtId="10" fontId="39" fillId="0" borderId="157" xfId="7" applyNumberFormat="1" applyFont="1" applyBorder="1" applyAlignment="1">
      <alignment horizontal="center" vertical="center"/>
    </xf>
    <xf numFmtId="10" fontId="42" fillId="0" borderId="157" xfId="7" applyNumberFormat="1" applyFont="1" applyBorder="1" applyAlignment="1">
      <alignment horizontal="center" vertical="center"/>
    </xf>
    <xf numFmtId="0" fontId="1" fillId="0" borderId="0" xfId="9"/>
    <xf numFmtId="0" fontId="66" fillId="0" borderId="0" xfId="9" applyFont="1"/>
    <xf numFmtId="0" fontId="1" fillId="0" borderId="257" xfId="9" applyBorder="1"/>
    <xf numFmtId="0" fontId="1" fillId="0" borderId="258" xfId="9" applyBorder="1"/>
    <xf numFmtId="0" fontId="1" fillId="0" borderId="85" xfId="9" applyBorder="1"/>
    <xf numFmtId="0" fontId="1" fillId="0" borderId="259" xfId="9" applyBorder="1"/>
    <xf numFmtId="0" fontId="1" fillId="0" borderId="260" xfId="9" applyBorder="1"/>
    <xf numFmtId="0" fontId="67" fillId="0" borderId="53" xfId="9" applyFont="1" applyBorder="1"/>
    <xf numFmtId="0" fontId="1" fillId="0" borderId="53" xfId="9" quotePrefix="1" applyBorder="1"/>
    <xf numFmtId="0" fontId="1" fillId="0" borderId="53" xfId="9" applyBorder="1"/>
    <xf numFmtId="4" fontId="1" fillId="0" borderId="53" xfId="9" applyNumberFormat="1" applyBorder="1"/>
    <xf numFmtId="0" fontId="67" fillId="0" borderId="126" xfId="9" applyFont="1" applyBorder="1"/>
    <xf numFmtId="0" fontId="1" fillId="0" borderId="261" xfId="9" applyBorder="1"/>
    <xf numFmtId="4" fontId="1" fillId="0" borderId="261" xfId="9" applyNumberFormat="1" applyBorder="1"/>
    <xf numFmtId="4" fontId="1" fillId="0" borderId="262" xfId="9" applyNumberFormat="1" applyBorder="1"/>
    <xf numFmtId="0" fontId="1" fillId="0" borderId="0" xfId="9" quotePrefix="1"/>
    <xf numFmtId="44" fontId="37" fillId="0" borderId="0" xfId="1" applyFont="1" applyAlignment="1">
      <alignment horizontal="left" vertical="center"/>
    </xf>
    <xf numFmtId="44" fontId="39" fillId="0" borderId="0" xfId="1" applyFont="1" applyAlignment="1">
      <alignment horizontal="left" vertical="center"/>
    </xf>
    <xf numFmtId="44" fontId="42" fillId="0" borderId="221" xfId="1" applyFont="1" applyBorder="1" applyAlignment="1">
      <alignment horizontal="center" vertical="center" wrapText="1"/>
    </xf>
    <xf numFmtId="44" fontId="42" fillId="0" borderId="166" xfId="1" applyFont="1" applyBorder="1" applyAlignment="1">
      <alignment horizontal="center" vertical="center" wrapText="1"/>
    </xf>
    <xf numFmtId="44" fontId="44" fillId="0" borderId="157" xfId="1" applyFont="1" applyBorder="1" applyAlignment="1">
      <alignment horizontal="center" vertical="center"/>
    </xf>
    <xf numFmtId="44" fontId="42" fillId="0" borderId="154" xfId="1" applyFont="1" applyBorder="1" applyAlignment="1">
      <alignment horizontal="center" vertical="center"/>
    </xf>
    <xf numFmtId="44" fontId="37" fillId="0" borderId="166" xfId="1" applyFont="1" applyBorder="1" applyAlignment="1" applyProtection="1">
      <alignment horizontal="center" vertical="center"/>
      <protection locked="0"/>
    </xf>
    <xf numFmtId="44" fontId="56" fillId="0" borderId="166" xfId="1" applyFont="1" applyBorder="1" applyAlignment="1" applyProtection="1">
      <alignment horizontal="center" vertical="center"/>
      <protection locked="0"/>
    </xf>
    <xf numFmtId="44" fontId="37" fillId="0" borderId="151" xfId="1" applyFont="1" applyBorder="1" applyAlignment="1" applyProtection="1">
      <alignment horizontal="center" vertical="center"/>
      <protection locked="0"/>
    </xf>
    <xf numFmtId="44" fontId="39" fillId="0" borderId="154" xfId="1" applyFont="1" applyBorder="1" applyAlignment="1">
      <alignment horizontal="center" vertical="center"/>
    </xf>
    <xf numFmtId="44" fontId="37" fillId="0" borderId="172" xfId="1" applyFont="1" applyBorder="1" applyAlignment="1">
      <alignment horizontal="center" vertical="center"/>
    </xf>
    <xf numFmtId="44" fontId="37" fillId="0" borderId="218" xfId="1" applyFont="1" applyBorder="1" applyAlignment="1">
      <alignment horizontal="center" vertical="center"/>
    </xf>
    <xf numFmtId="44" fontId="37" fillId="0" borderId="215" xfId="1" applyFont="1" applyBorder="1" applyAlignment="1" applyProtection="1">
      <alignment horizontal="center" vertical="center"/>
      <protection locked="0"/>
    </xf>
    <xf numFmtId="44" fontId="37" fillId="0" borderId="198" xfId="1" applyFont="1" applyBorder="1" applyAlignment="1" applyProtection="1">
      <alignment horizontal="center" vertical="center"/>
      <protection locked="0"/>
    </xf>
    <xf numFmtId="44" fontId="37" fillId="0" borderId="172" xfId="1" applyFont="1" applyBorder="1" applyAlignment="1" applyProtection="1">
      <alignment horizontal="center" vertical="center"/>
      <protection locked="0"/>
    </xf>
    <xf numFmtId="44" fontId="37" fillId="0" borderId="168" xfId="1" applyFont="1" applyBorder="1" applyAlignment="1" applyProtection="1">
      <alignment horizontal="center" vertical="center"/>
      <protection locked="0"/>
    </xf>
    <xf numFmtId="44" fontId="37" fillId="0" borderId="195" xfId="1" applyFont="1" applyBorder="1" applyAlignment="1" applyProtection="1">
      <alignment horizontal="center" vertical="center"/>
      <protection locked="0"/>
    </xf>
    <xf numFmtId="44" fontId="37" fillId="0" borderId="195" xfId="1" applyFont="1" applyBorder="1" applyAlignment="1">
      <alignment horizontal="center" vertical="center"/>
    </xf>
    <xf numFmtId="44" fontId="37" fillId="0" borderId="166" xfId="1" applyFont="1" applyBorder="1" applyAlignment="1">
      <alignment horizontal="center" vertical="center"/>
    </xf>
    <xf numFmtId="44" fontId="46" fillId="0" borderId="166" xfId="1" applyFont="1" applyBorder="1" applyAlignment="1" applyProtection="1">
      <alignment horizontal="center" vertical="center"/>
      <protection locked="0"/>
    </xf>
    <xf numFmtId="44" fontId="37" fillId="0" borderId="192" xfId="1" applyFont="1" applyBorder="1" applyAlignment="1" applyProtection="1">
      <alignment horizontal="center" vertical="center"/>
      <protection locked="0"/>
    </xf>
    <xf numFmtId="44" fontId="46" fillId="0" borderId="172" xfId="1" applyFont="1" applyBorder="1" applyAlignment="1">
      <alignment horizontal="center" vertical="center"/>
    </xf>
    <xf numFmtId="44" fontId="46" fillId="0" borderId="166" xfId="1" applyFont="1" applyBorder="1" applyAlignment="1">
      <alignment horizontal="center" vertical="center"/>
    </xf>
    <xf numFmtId="44" fontId="46" fillId="0" borderId="187" xfId="1" applyFont="1" applyBorder="1" applyAlignment="1" applyProtection="1">
      <alignment horizontal="center" vertical="center"/>
      <protection locked="0"/>
    </xf>
    <xf numFmtId="44" fontId="46" fillId="0" borderId="182" xfId="1" applyFont="1" applyBorder="1" applyAlignment="1" applyProtection="1">
      <alignment horizontal="center" vertical="center"/>
      <protection locked="0"/>
    </xf>
    <xf numFmtId="44" fontId="46" fillId="0" borderId="189" xfId="1" applyFont="1" applyBorder="1" applyAlignment="1" applyProtection="1">
      <alignment horizontal="center" vertical="center"/>
      <protection locked="0"/>
    </xf>
    <xf numFmtId="44" fontId="37" fillId="0" borderId="188" xfId="1" applyFont="1" applyBorder="1" applyAlignment="1" applyProtection="1">
      <alignment horizontal="center" vertical="center"/>
      <protection locked="0"/>
    </xf>
    <xf numFmtId="44" fontId="37" fillId="0" borderId="187" xfId="1" applyFont="1" applyBorder="1" applyAlignment="1" applyProtection="1">
      <alignment horizontal="center" vertical="center"/>
      <protection locked="0"/>
    </xf>
    <xf numFmtId="44" fontId="37" fillId="0" borderId="183" xfId="1" applyFont="1" applyBorder="1" applyAlignment="1" applyProtection="1">
      <alignment horizontal="center" vertical="center"/>
      <protection locked="0"/>
    </xf>
    <xf numFmtId="44" fontId="37" fillId="0" borderId="182" xfId="1" applyFont="1" applyBorder="1" applyAlignment="1" applyProtection="1">
      <alignment horizontal="center" vertical="center"/>
      <protection locked="0"/>
    </xf>
    <xf numFmtId="44" fontId="42" fillId="0" borderId="157" xfId="1" applyFont="1" applyBorder="1" applyAlignment="1" applyProtection="1">
      <alignment horizontal="center" vertical="center"/>
      <protection locked="0"/>
    </xf>
    <xf numFmtId="44" fontId="44" fillId="23" borderId="157" xfId="1" applyFont="1" applyFill="1" applyBorder="1" applyAlignment="1">
      <alignment horizontal="center" vertical="center"/>
    </xf>
    <xf numFmtId="44" fontId="37" fillId="0" borderId="0" xfId="1" applyFont="1" applyAlignment="1">
      <alignment horizontal="center" vertical="center"/>
    </xf>
    <xf numFmtId="44" fontId="37" fillId="0" borderId="161" xfId="1" applyFont="1" applyBorder="1" applyAlignment="1">
      <alignment horizontal="center" vertical="center"/>
    </xf>
    <xf numFmtId="44" fontId="45" fillId="0" borderId="160" xfId="1" applyFont="1" applyBorder="1" applyAlignment="1">
      <alignment horizontal="center" vertical="center" wrapText="1"/>
    </xf>
    <xf numFmtId="44" fontId="46" fillId="0" borderId="157" xfId="1" applyFont="1" applyBorder="1" applyAlignment="1">
      <alignment horizontal="center" vertical="center"/>
    </xf>
    <xf numFmtId="44" fontId="45" fillId="23" borderId="157" xfId="1" applyFont="1" applyFill="1" applyBorder="1" applyAlignment="1">
      <alignment horizontal="center" vertical="center"/>
    </xf>
    <xf numFmtId="44" fontId="45" fillId="0" borderId="159" xfId="1" applyFont="1" applyBorder="1" applyAlignment="1">
      <alignment horizontal="center" vertical="center" wrapText="1"/>
    </xf>
    <xf numFmtId="44" fontId="37" fillId="0" borderId="157" xfId="1" applyFont="1" applyBorder="1" applyAlignment="1">
      <alignment horizontal="center" vertical="center"/>
    </xf>
    <xf numFmtId="44" fontId="37" fillId="0" borderId="154" xfId="1" applyFont="1" applyBorder="1" applyAlignment="1">
      <alignment horizontal="center" vertical="center"/>
    </xf>
    <xf numFmtId="44" fontId="42" fillId="23" borderId="151" xfId="1" applyFont="1" applyFill="1" applyBorder="1" applyAlignment="1">
      <alignment horizontal="center" vertical="center"/>
    </xf>
    <xf numFmtId="44" fontId="37" fillId="0" borderId="0" xfId="1" applyFont="1" applyAlignment="1">
      <alignment horizontal="center"/>
    </xf>
    <xf numFmtId="1" fontId="59" fillId="0" borderId="222" xfId="1" applyNumberFormat="1" applyFont="1" applyBorder="1" applyAlignment="1">
      <alignment horizontal="center" vertical="center"/>
    </xf>
    <xf numFmtId="0" fontId="74" fillId="24" borderId="80" xfId="0" applyFont="1" applyFill="1" applyBorder="1" applyAlignment="1">
      <alignment horizontal="center" vertical="center" wrapText="1"/>
    </xf>
    <xf numFmtId="0" fontId="74" fillId="24" borderId="53" xfId="0" applyFont="1" applyFill="1" applyBorder="1" applyAlignment="1">
      <alignment horizontal="center" vertical="center" wrapText="1"/>
    </xf>
    <xf numFmtId="1" fontId="8" fillId="26" borderId="53" xfId="0" applyNumberFormat="1" applyFont="1" applyFill="1" applyBorder="1" applyAlignment="1">
      <alignment horizontal="center" vertical="center"/>
    </xf>
    <xf numFmtId="44" fontId="8" fillId="25" borderId="80" xfId="0" applyNumberFormat="1" applyFont="1" applyFill="1" applyBorder="1" applyAlignment="1">
      <alignment vertical="center"/>
    </xf>
    <xf numFmtId="44" fontId="8" fillId="25" borderId="81" xfId="0" applyNumberFormat="1" applyFont="1" applyFill="1" applyBorder="1" applyAlignment="1">
      <alignment vertical="center"/>
    </xf>
    <xf numFmtId="1" fontId="74" fillId="24" borderId="53" xfId="0" applyNumberFormat="1" applyFont="1" applyFill="1" applyBorder="1" applyAlignment="1">
      <alignment horizontal="center" vertical="center" wrapText="1"/>
    </xf>
    <xf numFmtId="44" fontId="74" fillId="24" borderId="53" xfId="1" applyFont="1" applyFill="1" applyBorder="1" applyAlignment="1">
      <alignment horizontal="center" vertical="center" wrapText="1"/>
    </xf>
    <xf numFmtId="1" fontId="74" fillId="24" borderId="53" xfId="0" applyNumberFormat="1" applyFont="1" applyFill="1" applyBorder="1" applyAlignment="1">
      <alignment horizontal="center" vertical="center"/>
    </xf>
    <xf numFmtId="44" fontId="74" fillId="24" borderId="53" xfId="1" applyFont="1" applyFill="1" applyBorder="1" applyAlignment="1">
      <alignment horizontal="center" vertical="center"/>
    </xf>
    <xf numFmtId="1" fontId="75" fillId="27" borderId="53" xfId="0" applyNumberFormat="1" applyFont="1" applyFill="1" applyBorder="1" applyAlignment="1">
      <alignment horizontal="center" vertical="center"/>
    </xf>
    <xf numFmtId="44" fontId="75" fillId="27" borderId="53" xfId="1" applyFont="1" applyFill="1" applyBorder="1" applyAlignment="1">
      <alignment vertical="center"/>
    </xf>
    <xf numFmtId="0" fontId="75" fillId="27" borderId="53" xfId="0" applyFont="1" applyFill="1" applyBorder="1" applyAlignment="1">
      <alignment horizontal="center" vertical="center"/>
    </xf>
    <xf numFmtId="44" fontId="75" fillId="27" borderId="53" xfId="0" applyNumberFormat="1" applyFont="1" applyFill="1" applyBorder="1" applyAlignment="1">
      <alignment horizontal="center" vertical="center"/>
    </xf>
    <xf numFmtId="44" fontId="8" fillId="7" borderId="53" xfId="1" applyFont="1" applyFill="1" applyBorder="1" applyAlignment="1">
      <alignment horizontal="center" vertical="center"/>
    </xf>
    <xf numFmtId="0" fontId="0" fillId="9" borderId="53" xfId="0" applyFill="1" applyBorder="1" applyAlignment="1">
      <alignment horizontal="center" vertical="center" wrapText="1"/>
    </xf>
    <xf numFmtId="0" fontId="0" fillId="0" borderId="0" xfId="0" applyAlignment="1">
      <alignment vertical="center" wrapText="1"/>
    </xf>
    <xf numFmtId="0" fontId="0" fillId="0" borderId="0" xfId="0" applyFill="1" applyBorder="1" applyAlignment="1" applyProtection="1">
      <alignment vertical="center" wrapText="1"/>
      <protection locked="0"/>
    </xf>
    <xf numFmtId="44" fontId="0" fillId="0" borderId="0" xfId="1" applyFont="1" applyFill="1" applyBorder="1" applyAlignment="1" applyProtection="1">
      <alignment vertical="center" wrapText="1"/>
      <protection locked="0"/>
    </xf>
    <xf numFmtId="44" fontId="0" fillId="0" borderId="258" xfId="1" applyFont="1" applyFill="1" applyBorder="1" applyAlignment="1" applyProtection="1">
      <alignment vertical="center" wrapText="1"/>
      <protection locked="0"/>
    </xf>
    <xf numFmtId="44" fontId="0" fillId="0" borderId="0" xfId="1" applyFont="1" applyFill="1" applyBorder="1" applyAlignment="1" applyProtection="1">
      <alignment vertical="center" wrapText="1"/>
    </xf>
    <xf numFmtId="49" fontId="71" fillId="0" borderId="0" xfId="0" applyNumberFormat="1" applyFont="1" applyFill="1" applyBorder="1" applyAlignment="1" applyProtection="1">
      <alignment vertical="center" wrapText="1"/>
      <protection locked="0"/>
    </xf>
    <xf numFmtId="44" fontId="71" fillId="0" borderId="0" xfId="1" applyFont="1" applyFill="1" applyBorder="1" applyAlignment="1" applyProtection="1">
      <alignment vertical="center" wrapText="1"/>
      <protection locked="0"/>
    </xf>
    <xf numFmtId="44" fontId="71" fillId="0" borderId="258" xfId="1" applyFont="1" applyFill="1" applyBorder="1" applyAlignment="1" applyProtection="1">
      <alignment vertical="center" wrapText="1"/>
      <protection locked="0"/>
    </xf>
    <xf numFmtId="49" fontId="0" fillId="0" borderId="0" xfId="0" applyNumberFormat="1" applyFill="1" applyBorder="1" applyAlignment="1" applyProtection="1">
      <alignment horizontal="right" vertical="center" wrapText="1"/>
      <protection locked="0"/>
    </xf>
    <xf numFmtId="0" fontId="0" fillId="0" borderId="0" xfId="0" applyFill="1" applyBorder="1" applyAlignment="1" applyProtection="1">
      <alignment horizontal="right" vertical="center" wrapText="1"/>
      <protection locked="0"/>
    </xf>
    <xf numFmtId="0" fontId="68" fillId="0" borderId="0" xfId="0" applyFont="1" applyFill="1" applyBorder="1" applyAlignment="1" applyProtection="1">
      <alignment horizontal="right" vertical="center" wrapText="1"/>
      <protection locked="0"/>
    </xf>
    <xf numFmtId="44" fontId="68" fillId="0" borderId="0" xfId="1" applyFont="1" applyFill="1" applyBorder="1" applyAlignment="1" applyProtection="1">
      <alignment vertical="center" wrapText="1"/>
    </xf>
    <xf numFmtId="49" fontId="71" fillId="0" borderId="0" xfId="0" applyNumberFormat="1" applyFont="1" applyFill="1" applyBorder="1" applyAlignment="1" applyProtection="1">
      <alignment horizontal="right" vertical="center" wrapText="1"/>
      <protection locked="0"/>
    </xf>
    <xf numFmtId="44" fontId="71" fillId="0" borderId="116" xfId="1" applyFont="1" applyFill="1" applyBorder="1" applyAlignment="1" applyProtection="1">
      <alignment vertical="center" wrapText="1"/>
      <protection locked="0"/>
    </xf>
    <xf numFmtId="44" fontId="71" fillId="0" borderId="263" xfId="1" applyFont="1" applyFill="1" applyBorder="1" applyAlignment="1" applyProtection="1">
      <alignment vertical="center" wrapText="1"/>
      <protection locked="0"/>
    </xf>
    <xf numFmtId="44" fontId="0" fillId="7" borderId="0" xfId="1" applyFont="1" applyFill="1" applyBorder="1" applyAlignment="1" applyProtection="1">
      <alignment vertical="center" wrapText="1"/>
    </xf>
    <xf numFmtId="49" fontId="0" fillId="0" borderId="0" xfId="0" applyNumberFormat="1" applyFill="1" applyBorder="1" applyAlignment="1" applyProtection="1">
      <alignment vertical="center" wrapText="1"/>
      <protection locked="0"/>
    </xf>
    <xf numFmtId="49" fontId="71" fillId="0" borderId="0" xfId="0" applyNumberFormat="1" applyFont="1" applyFill="1" applyBorder="1" applyAlignment="1" applyProtection="1">
      <alignment vertical="center"/>
      <protection locked="0"/>
    </xf>
    <xf numFmtId="44" fontId="71" fillId="0" borderId="116" xfId="1" applyFont="1" applyFill="1" applyBorder="1" applyAlignment="1" applyProtection="1">
      <alignment vertical="center" wrapText="1"/>
    </xf>
    <xf numFmtId="0" fontId="71" fillId="0" borderId="0" xfId="0" applyFont="1" applyFill="1" applyBorder="1" applyAlignment="1" applyProtection="1">
      <alignment vertical="center" wrapText="1"/>
      <protection locked="0"/>
    </xf>
    <xf numFmtId="44" fontId="0" fillId="7" borderId="0" xfId="1" applyFont="1" applyFill="1" applyBorder="1" applyAlignment="1" applyProtection="1">
      <alignment vertical="center" wrapText="1"/>
      <protection locked="0"/>
    </xf>
    <xf numFmtId="44" fontId="0" fillId="11" borderId="53" xfId="1" applyFont="1" applyFill="1" applyBorder="1" applyAlignment="1">
      <alignment vertical="center" wrapText="1"/>
    </xf>
    <xf numFmtId="49" fontId="71" fillId="0" borderId="11" xfId="0" applyNumberFormat="1" applyFont="1" applyFill="1" applyBorder="1" applyAlignment="1" applyProtection="1">
      <alignment horizontal="right" vertical="center" wrapText="1"/>
      <protection locked="0"/>
    </xf>
    <xf numFmtId="44" fontId="71" fillId="0" borderId="12" xfId="1" applyFont="1" applyFill="1" applyBorder="1" applyAlignment="1" applyProtection="1">
      <alignment vertical="center" wrapText="1"/>
    </xf>
    <xf numFmtId="44" fontId="71" fillId="0" borderId="159" xfId="1" applyFont="1" applyFill="1" applyBorder="1" applyAlignment="1" applyProtection="1">
      <alignment vertical="center" wrapText="1"/>
      <protection locked="0"/>
    </xf>
    <xf numFmtId="0" fontId="71" fillId="0" borderId="11" xfId="0" applyFont="1" applyFill="1" applyBorder="1" applyAlignment="1" applyProtection="1">
      <alignment horizontal="right" vertical="center" wrapText="1"/>
      <protection locked="0"/>
    </xf>
    <xf numFmtId="44" fontId="71" fillId="0" borderId="12" xfId="0" applyNumberFormat="1" applyFont="1" applyFill="1" applyBorder="1" applyAlignment="1" applyProtection="1">
      <alignment horizontal="right" vertical="center" wrapText="1"/>
      <protection locked="0"/>
    </xf>
    <xf numFmtId="0" fontId="0" fillId="0" borderId="0" xfId="0" applyAlignment="1">
      <alignment vertical="center"/>
    </xf>
    <xf numFmtId="44" fontId="70" fillId="0" borderId="0" xfId="1" applyFont="1" applyFill="1" applyBorder="1" applyAlignment="1" applyProtection="1">
      <alignment vertical="center" wrapText="1"/>
      <protection locked="0"/>
    </xf>
    <xf numFmtId="0" fontId="69" fillId="0" borderId="11" xfId="0" applyFont="1" applyFill="1" applyBorder="1" applyAlignment="1" applyProtection="1">
      <alignment horizontal="right" vertical="center" wrapText="1"/>
      <protection locked="0"/>
    </xf>
    <xf numFmtId="44" fontId="69" fillId="0" borderId="12" xfId="0" applyNumberFormat="1" applyFont="1" applyFill="1" applyBorder="1" applyAlignment="1" applyProtection="1">
      <alignment horizontal="right" vertical="center" wrapText="1"/>
      <protection locked="0"/>
    </xf>
    <xf numFmtId="44" fontId="69" fillId="0" borderId="13" xfId="0" applyNumberFormat="1" applyFont="1" applyFill="1" applyBorder="1" applyAlignment="1" applyProtection="1">
      <alignment horizontal="right" vertical="center" wrapText="1"/>
      <protection locked="0"/>
    </xf>
    <xf numFmtId="0" fontId="72" fillId="0" borderId="0" xfId="0" applyFont="1" applyFill="1" applyBorder="1" applyAlignment="1" applyProtection="1">
      <alignment vertical="center" wrapText="1"/>
      <protection locked="0"/>
    </xf>
    <xf numFmtId="44" fontId="69" fillId="0" borderId="0" xfId="1" applyFont="1" applyFill="1" applyBorder="1" applyAlignment="1" applyProtection="1">
      <alignment vertical="center" wrapText="1"/>
      <protection locked="0"/>
    </xf>
    <xf numFmtId="44" fontId="71" fillId="0" borderId="0" xfId="1" applyFont="1" applyFill="1" applyBorder="1" applyAlignment="1" applyProtection="1">
      <alignment vertical="center" wrapText="1"/>
    </xf>
    <xf numFmtId="0" fontId="45" fillId="0" borderId="0" xfId="7" applyFont="1" applyAlignment="1">
      <alignment vertical="center"/>
    </xf>
    <xf numFmtId="0" fontId="46" fillId="0" borderId="0" xfId="7" applyFont="1" applyAlignment="1">
      <alignment horizontal="left" vertical="center"/>
    </xf>
    <xf numFmtId="0" fontId="45" fillId="28" borderId="268" xfId="7" applyFont="1" applyFill="1" applyBorder="1" applyAlignment="1">
      <alignment vertical="center"/>
    </xf>
    <xf numFmtId="0" fontId="45" fillId="28" borderId="264" xfId="7" applyFont="1" applyFill="1" applyBorder="1" applyAlignment="1">
      <alignment vertical="center"/>
    </xf>
    <xf numFmtId="0" fontId="37" fillId="9" borderId="266" xfId="7" applyFill="1" applyBorder="1" applyAlignment="1">
      <alignment vertical="center"/>
    </xf>
    <xf numFmtId="0" fontId="13" fillId="3" borderId="22" xfId="0" applyFont="1" applyFill="1" applyBorder="1" applyAlignment="1" applyProtection="1">
      <alignment vertical="center" wrapText="1"/>
      <protection locked="0"/>
    </xf>
    <xf numFmtId="44" fontId="13" fillId="3" borderId="22" xfId="1" applyFont="1" applyFill="1" applyBorder="1" applyAlignment="1" applyProtection="1">
      <alignment vertical="center" wrapText="1"/>
      <protection locked="0"/>
    </xf>
    <xf numFmtId="0" fontId="17" fillId="3" borderId="22" xfId="0" applyFont="1" applyFill="1" applyBorder="1" applyAlignment="1" applyProtection="1">
      <alignment horizontal="center" vertical="center"/>
      <protection locked="0"/>
    </xf>
    <xf numFmtId="167" fontId="16" fillId="0" borderId="84" xfId="0" applyNumberFormat="1" applyFont="1" applyFill="1" applyBorder="1" applyAlignment="1" applyProtection="1">
      <alignment horizontal="center" vertical="center"/>
      <protection locked="0"/>
    </xf>
    <xf numFmtId="0" fontId="17" fillId="0" borderId="30" xfId="0" applyNumberFormat="1" applyFont="1" applyFill="1" applyBorder="1" applyAlignment="1" applyProtection="1">
      <alignment horizontal="center" vertical="center"/>
      <protection locked="0"/>
    </xf>
    <xf numFmtId="1" fontId="17" fillId="0" borderId="269" xfId="0" applyNumberFormat="1" applyFont="1" applyFill="1" applyBorder="1" applyAlignment="1" applyProtection="1">
      <alignment horizontal="center" vertical="center"/>
    </xf>
    <xf numFmtId="1" fontId="16" fillId="7" borderId="14" xfId="0" applyNumberFormat="1" applyFont="1" applyFill="1" applyBorder="1" applyAlignment="1" applyProtection="1">
      <alignment horizontal="center" vertical="center"/>
    </xf>
    <xf numFmtId="164" fontId="17" fillId="7" borderId="270" xfId="0" applyNumberFormat="1" applyFont="1" applyFill="1" applyBorder="1" applyAlignment="1" applyProtection="1">
      <alignment horizontal="right" vertical="center"/>
    </xf>
    <xf numFmtId="164" fontId="18" fillId="2" borderId="271" xfId="0" applyNumberFormat="1" applyFont="1" applyFill="1" applyBorder="1" applyAlignment="1" applyProtection="1">
      <alignment horizontal="right" vertical="center"/>
    </xf>
    <xf numFmtId="167" fontId="21" fillId="8" borderId="272" xfId="0" applyNumberFormat="1" applyFont="1" applyFill="1" applyBorder="1" applyAlignment="1" applyProtection="1">
      <alignment vertical="center"/>
      <protection locked="0"/>
    </xf>
    <xf numFmtId="0" fontId="13" fillId="0" borderId="22" xfId="0" applyFont="1" applyBorder="1" applyProtection="1">
      <alignment vertical="top" wrapText="1"/>
      <protection locked="0"/>
    </xf>
    <xf numFmtId="0" fontId="13" fillId="3" borderId="22" xfId="3" applyFont="1" applyFill="1" applyBorder="1" applyAlignment="1" applyProtection="1">
      <alignment vertical="center" wrapText="1"/>
      <protection locked="0"/>
    </xf>
    <xf numFmtId="44" fontId="13" fillId="3" borderId="22" xfId="4" applyFont="1" applyFill="1" applyBorder="1" applyAlignment="1" applyProtection="1">
      <alignment vertical="center" wrapText="1"/>
      <protection locked="0"/>
    </xf>
    <xf numFmtId="0" fontId="17" fillId="3" borderId="22" xfId="3" applyFont="1" applyFill="1" applyBorder="1" applyAlignment="1" applyProtection="1">
      <alignment horizontal="center" vertical="center"/>
      <protection locked="0"/>
    </xf>
    <xf numFmtId="167" fontId="16" fillId="0" borderId="84" xfId="3" applyNumberFormat="1" applyFont="1" applyFill="1" applyBorder="1" applyAlignment="1" applyProtection="1">
      <alignment horizontal="center" vertical="center"/>
      <protection locked="0"/>
    </xf>
    <xf numFmtId="0" fontId="27" fillId="0" borderId="11" xfId="3" applyNumberFormat="1" applyFont="1" applyBorder="1" applyAlignment="1" applyProtection="1">
      <alignment vertical="center" wrapText="1"/>
      <protection locked="0"/>
    </xf>
    <xf numFmtId="0" fontId="13" fillId="0" borderId="274" xfId="3" applyNumberFormat="1" applyFont="1" applyBorder="1" applyAlignment="1" applyProtection="1">
      <alignment vertical="center" wrapText="1"/>
      <protection locked="0"/>
    </xf>
    <xf numFmtId="0" fontId="13" fillId="0" borderId="273" xfId="3" applyNumberFormat="1" applyFont="1" applyBorder="1" applyAlignment="1" applyProtection="1">
      <alignment vertical="center" wrapText="1"/>
      <protection locked="0"/>
    </xf>
    <xf numFmtId="167" fontId="21" fillId="8" borderId="272" xfId="3" applyNumberFormat="1" applyFont="1" applyFill="1" applyBorder="1" applyAlignment="1" applyProtection="1">
      <alignment vertical="center"/>
      <protection locked="0"/>
    </xf>
    <xf numFmtId="44" fontId="17" fillId="3" borderId="30" xfId="4" applyFont="1" applyFill="1" applyBorder="1" applyAlignment="1" applyProtection="1">
      <alignment horizontal="center" vertical="center"/>
      <protection locked="0"/>
    </xf>
    <xf numFmtId="3" fontId="17" fillId="3" borderId="276" xfId="3" applyNumberFormat="1" applyFont="1" applyFill="1" applyBorder="1" applyAlignment="1" applyProtection="1">
      <alignment horizontal="center" vertical="center"/>
      <protection locked="0"/>
    </xf>
    <xf numFmtId="3" fontId="17" fillId="3" borderId="30" xfId="3" applyNumberFormat="1" applyFont="1" applyFill="1" applyBorder="1" applyAlignment="1" applyProtection="1">
      <alignment horizontal="center" vertical="center"/>
      <protection locked="0"/>
    </xf>
    <xf numFmtId="1" fontId="17" fillId="3" borderId="30" xfId="3" applyNumberFormat="1" applyFont="1" applyFill="1" applyBorder="1" applyAlignment="1" applyProtection="1">
      <alignment horizontal="center" vertical="center"/>
      <protection locked="0"/>
    </xf>
    <xf numFmtId="0" fontId="13" fillId="0" borderId="11" xfId="3" applyNumberFormat="1" applyFont="1" applyBorder="1" applyAlignment="1" applyProtection="1">
      <alignment vertical="center" wrapText="1"/>
      <protection locked="0"/>
    </xf>
    <xf numFmtId="49" fontId="21" fillId="8" borderId="12" xfId="3" applyNumberFormat="1" applyFont="1" applyFill="1" applyBorder="1" applyAlignment="1" applyProtection="1">
      <alignment vertical="center"/>
      <protection locked="0"/>
    </xf>
    <xf numFmtId="44" fontId="21" fillId="8" borderId="12" xfId="4" applyFont="1" applyFill="1" applyBorder="1" applyAlignment="1" applyProtection="1">
      <alignment vertical="center"/>
      <protection locked="0"/>
    </xf>
    <xf numFmtId="49" fontId="21" fillId="8" borderId="12" xfId="3" applyNumberFormat="1" applyFont="1" applyFill="1" applyBorder="1" applyAlignment="1" applyProtection="1">
      <alignment horizontal="center" vertical="center"/>
      <protection locked="0"/>
    </xf>
    <xf numFmtId="167" fontId="21" fillId="8" borderId="16" xfId="3" applyNumberFormat="1" applyFont="1" applyFill="1" applyBorder="1" applyAlignment="1" applyProtection="1">
      <alignment vertical="center"/>
      <protection locked="0"/>
    </xf>
    <xf numFmtId="44" fontId="76" fillId="25" borderId="80" xfId="0" applyNumberFormat="1" applyFont="1" applyFill="1" applyBorder="1" applyAlignment="1">
      <alignment vertical="center"/>
    </xf>
    <xf numFmtId="44" fontId="76" fillId="25" borderId="81" xfId="0" applyNumberFormat="1" applyFont="1" applyFill="1" applyBorder="1" applyAlignment="1">
      <alignment vertical="center"/>
    </xf>
    <xf numFmtId="1" fontId="76" fillId="26" borderId="53" xfId="0" applyNumberFormat="1" applyFont="1" applyFill="1" applyBorder="1" applyAlignment="1">
      <alignment horizontal="center" vertical="center"/>
    </xf>
    <xf numFmtId="44" fontId="76" fillId="7" borderId="53" xfId="1" applyFont="1" applyFill="1" applyBorder="1" applyAlignment="1">
      <alignment horizontal="center" vertical="center"/>
    </xf>
    <xf numFmtId="44" fontId="75" fillId="25" borderId="80" xfId="0" applyNumberFormat="1" applyFont="1" applyFill="1" applyBorder="1" applyAlignment="1">
      <alignment vertical="center"/>
    </xf>
    <xf numFmtId="44" fontId="75" fillId="25" borderId="81" xfId="0" applyNumberFormat="1" applyFont="1" applyFill="1" applyBorder="1" applyAlignment="1">
      <alignment vertical="center"/>
    </xf>
    <xf numFmtId="44" fontId="74" fillId="24" borderId="80" xfId="0" applyNumberFormat="1" applyFont="1" applyFill="1" applyBorder="1" applyAlignment="1">
      <alignment horizontal="center" vertical="center"/>
    </xf>
    <xf numFmtId="44" fontId="74" fillId="24" borderId="81" xfId="0" applyNumberFormat="1" applyFont="1" applyFill="1" applyBorder="1" applyAlignment="1">
      <alignment horizontal="center" vertical="center"/>
    </xf>
    <xf numFmtId="0" fontId="74" fillId="24" borderId="81" xfId="0" applyFont="1" applyFill="1" applyBorder="1" applyAlignment="1">
      <alignment horizontal="center" vertical="center" wrapText="1"/>
    </xf>
    <xf numFmtId="0" fontId="77" fillId="0" borderId="0" xfId="0" applyFont="1" applyAlignment="1">
      <alignment vertical="center" wrapText="1"/>
    </xf>
    <xf numFmtId="44" fontId="79" fillId="0" borderId="116" xfId="1" applyFont="1" applyFill="1" applyBorder="1" applyAlignment="1" applyProtection="1">
      <alignment vertical="center" wrapText="1"/>
      <protection locked="0"/>
    </xf>
    <xf numFmtId="44" fontId="79" fillId="0" borderId="12" xfId="1" applyFont="1" applyFill="1" applyBorder="1" applyAlignment="1" applyProtection="1">
      <alignment vertical="center" wrapText="1"/>
    </xf>
    <xf numFmtId="44" fontId="79" fillId="0" borderId="12" xfId="0" applyNumberFormat="1" applyFont="1" applyFill="1" applyBorder="1" applyAlignment="1" applyProtection="1">
      <alignment horizontal="right" vertical="center" wrapText="1"/>
      <protection locked="0"/>
    </xf>
    <xf numFmtId="44" fontId="77" fillId="0" borderId="0" xfId="1" applyFont="1" applyFill="1" applyBorder="1" applyAlignment="1" applyProtection="1">
      <alignment vertical="center" wrapText="1"/>
      <protection locked="0"/>
    </xf>
    <xf numFmtId="44" fontId="77" fillId="0" borderId="28" xfId="1" applyFont="1" applyFill="1" applyBorder="1" applyAlignment="1" applyProtection="1">
      <alignment vertical="center" wrapText="1"/>
      <protection locked="0"/>
    </xf>
    <xf numFmtId="44" fontId="79" fillId="0" borderId="0" xfId="1" applyFont="1" applyFill="1" applyBorder="1" applyAlignment="1" applyProtection="1">
      <alignment vertical="center" wrapText="1"/>
      <protection locked="0"/>
    </xf>
    <xf numFmtId="44" fontId="79" fillId="0" borderId="28" xfId="1" applyFont="1" applyFill="1" applyBorder="1" applyAlignment="1" applyProtection="1">
      <alignment vertical="center" wrapText="1"/>
      <protection locked="0"/>
    </xf>
    <xf numFmtId="44" fontId="79" fillId="0" borderId="277" xfId="1" applyFont="1" applyFill="1" applyBorder="1" applyAlignment="1" applyProtection="1">
      <alignment vertical="center" wrapText="1"/>
      <protection locked="0"/>
    </xf>
    <xf numFmtId="44" fontId="77" fillId="7" borderId="28" xfId="1" applyFont="1" applyFill="1" applyBorder="1" applyAlignment="1" applyProtection="1">
      <alignment vertical="center" wrapText="1"/>
      <protection locked="0"/>
    </xf>
    <xf numFmtId="44" fontId="79" fillId="0" borderId="13" xfId="1" applyFont="1" applyFill="1" applyBorder="1" applyAlignment="1" applyProtection="1">
      <alignment vertical="center" wrapText="1"/>
    </xf>
    <xf numFmtId="44" fontId="79" fillId="0" borderId="0" xfId="1" applyFont="1" applyFill="1" applyBorder="1" applyAlignment="1" applyProtection="1">
      <alignment vertical="center" wrapText="1"/>
    </xf>
    <xf numFmtId="44" fontId="79" fillId="0" borderId="13" xfId="0" applyNumberFormat="1" applyFont="1" applyFill="1" applyBorder="1" applyAlignment="1" applyProtection="1">
      <alignment horizontal="right" vertical="center" wrapText="1"/>
      <protection locked="0"/>
    </xf>
    <xf numFmtId="44" fontId="79" fillId="0" borderId="116" xfId="1" applyFont="1" applyFill="1" applyBorder="1" applyAlignment="1" applyProtection="1">
      <alignment vertical="center" wrapText="1"/>
    </xf>
    <xf numFmtId="44" fontId="77" fillId="0" borderId="0" xfId="1" applyFont="1" applyFill="1" applyBorder="1" applyAlignment="1" applyProtection="1">
      <alignment vertical="center" wrapText="1"/>
    </xf>
    <xf numFmtId="44" fontId="77" fillId="0" borderId="28" xfId="1" applyFont="1" applyFill="1" applyBorder="1" applyAlignment="1" applyProtection="1">
      <alignment vertical="center" wrapText="1"/>
    </xf>
    <xf numFmtId="44" fontId="77" fillId="7" borderId="0" xfId="1" applyFont="1" applyFill="1" applyBorder="1" applyAlignment="1" applyProtection="1">
      <alignment vertical="center" wrapText="1"/>
    </xf>
    <xf numFmtId="44" fontId="77" fillId="7" borderId="28" xfId="1" applyFont="1" applyFill="1" applyBorder="1" applyAlignment="1" applyProtection="1">
      <alignment vertical="center" wrapText="1"/>
    </xf>
    <xf numFmtId="44" fontId="79" fillId="0" borderId="277" xfId="1" applyFont="1" applyFill="1" applyBorder="1" applyAlignment="1" applyProtection="1">
      <alignment vertical="center" wrapText="1"/>
    </xf>
    <xf numFmtId="44" fontId="78" fillId="0" borderId="0" xfId="1" applyFont="1" applyFill="1" applyBorder="1" applyAlignment="1" applyProtection="1">
      <alignment vertical="center" wrapText="1"/>
      <protection locked="0"/>
    </xf>
    <xf numFmtId="44" fontId="77" fillId="0" borderId="0" xfId="1" applyFont="1" applyAlignment="1">
      <alignment vertical="center" wrapText="1"/>
    </xf>
    <xf numFmtId="44" fontId="77" fillId="0" borderId="0" xfId="1" applyFont="1" applyFill="1" applyBorder="1" applyAlignment="1" applyProtection="1">
      <alignment horizontal="right" vertical="center" wrapText="1"/>
      <protection locked="0"/>
    </xf>
    <xf numFmtId="44" fontId="79" fillId="0" borderId="0" xfId="1" applyFont="1" applyFill="1" applyBorder="1" applyAlignment="1" applyProtection="1">
      <alignment vertical="center"/>
      <protection locked="0"/>
    </xf>
    <xf numFmtId="44" fontId="79" fillId="0" borderId="0" xfId="1" applyFont="1" applyFill="1" applyBorder="1" applyAlignment="1" applyProtection="1">
      <alignment horizontal="right" vertical="center" wrapText="1"/>
      <protection locked="0"/>
    </xf>
    <xf numFmtId="44" fontId="79" fillId="0" borderId="12" xfId="1" applyFont="1" applyFill="1" applyBorder="1" applyAlignment="1" applyProtection="1">
      <alignment horizontal="right" vertical="center" wrapText="1"/>
      <protection locked="0"/>
    </xf>
    <xf numFmtId="44" fontId="78" fillId="0" borderId="12" xfId="1" applyFont="1" applyFill="1" applyBorder="1" applyAlignment="1" applyProtection="1">
      <alignment horizontal="right" vertical="center" wrapText="1"/>
      <protection locked="0"/>
    </xf>
    <xf numFmtId="0" fontId="69" fillId="0" borderId="11" xfId="0" applyNumberFormat="1" applyFont="1" applyFill="1" applyBorder="1" applyAlignment="1" applyProtection="1">
      <alignment horizontal="center" vertical="center" wrapText="1"/>
      <protection locked="0"/>
    </xf>
    <xf numFmtId="0" fontId="78" fillId="0" borderId="12" xfId="1" applyNumberFormat="1" applyFont="1" applyFill="1" applyBorder="1" applyAlignment="1" applyProtection="1">
      <alignment horizontal="center" vertical="center" wrapText="1"/>
      <protection locked="0"/>
    </xf>
    <xf numFmtId="0" fontId="69" fillId="0" borderId="12" xfId="0" applyNumberFormat="1" applyFont="1" applyFill="1" applyBorder="1" applyAlignment="1" applyProtection="1">
      <alignment horizontal="center" vertical="center" wrapText="1"/>
      <protection locked="0"/>
    </xf>
    <xf numFmtId="0" fontId="78" fillId="0" borderId="12" xfId="0" applyNumberFormat="1" applyFont="1" applyFill="1" applyBorder="1" applyAlignment="1" applyProtection="1">
      <alignment horizontal="center" vertical="center" wrapText="1"/>
      <protection locked="0"/>
    </xf>
    <xf numFmtId="0" fontId="78" fillId="0" borderId="13" xfId="0" applyNumberFormat="1" applyFont="1" applyFill="1" applyBorder="1" applyAlignment="1" applyProtection="1">
      <alignment horizontal="center" vertical="center" wrapText="1"/>
      <protection locked="0"/>
    </xf>
    <xf numFmtId="0" fontId="69" fillId="0" borderId="159" xfId="0" applyNumberFormat="1" applyFont="1" applyFill="1" applyBorder="1" applyAlignment="1" applyProtection="1">
      <alignment horizontal="center" vertical="center" wrapText="1"/>
      <protection locked="0"/>
    </xf>
    <xf numFmtId="0" fontId="69" fillId="0" borderId="0" xfId="0" applyNumberFormat="1" applyFont="1" applyFill="1" applyBorder="1" applyAlignment="1" applyProtection="1">
      <alignment horizontal="center" vertical="center" wrapText="1"/>
      <protection locked="0"/>
    </xf>
    <xf numFmtId="0" fontId="78" fillId="0" borderId="12" xfId="1" applyNumberFormat="1" applyFont="1" applyFill="1" applyBorder="1" applyAlignment="1" applyProtection="1">
      <alignment horizontal="center" vertical="center" wrapText="1"/>
    </xf>
    <xf numFmtId="0" fontId="69" fillId="0" borderId="12" xfId="0" applyNumberFormat="1" applyFont="1" applyFill="1" applyBorder="1" applyAlignment="1" applyProtection="1">
      <alignment horizontal="center" vertical="center" wrapText="1"/>
    </xf>
    <xf numFmtId="0" fontId="78" fillId="0" borderId="12" xfId="0" applyNumberFormat="1" applyFont="1" applyFill="1" applyBorder="1" applyAlignment="1" applyProtection="1">
      <alignment horizontal="center" vertical="center" wrapText="1"/>
    </xf>
    <xf numFmtId="0" fontId="78" fillId="0" borderId="13" xfId="0" applyNumberFormat="1" applyFont="1" applyFill="1" applyBorder="1" applyAlignment="1" applyProtection="1">
      <alignment horizontal="center" vertical="center" wrapText="1"/>
    </xf>
    <xf numFmtId="0" fontId="0" fillId="0" borderId="0" xfId="0" applyNumberFormat="1" applyAlignment="1">
      <alignment vertical="center" wrapText="1"/>
    </xf>
    <xf numFmtId="44" fontId="77" fillId="7" borderId="0" xfId="1" applyFont="1" applyFill="1" applyBorder="1" applyAlignment="1" applyProtection="1">
      <alignment horizontal="right" vertical="center" wrapText="1"/>
      <protection locked="0"/>
    </xf>
    <xf numFmtId="49" fontId="70" fillId="0" borderId="0" xfId="0" applyNumberFormat="1" applyFont="1" applyFill="1" applyBorder="1" applyAlignment="1" applyProtection="1">
      <alignment horizontal="right" vertical="center"/>
      <protection locked="0"/>
    </xf>
    <xf numFmtId="44" fontId="77" fillId="8" borderId="0" xfId="1" applyFont="1" applyFill="1" applyBorder="1" applyAlignment="1" applyProtection="1">
      <alignment horizontal="right" vertical="center" wrapText="1"/>
      <protection locked="0"/>
    </xf>
    <xf numFmtId="49" fontId="7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44" fontId="0" fillId="0" borderId="0" xfId="1" applyFont="1" applyAlignment="1">
      <alignment vertical="center" wrapText="1"/>
    </xf>
    <xf numFmtId="44" fontId="3" fillId="7" borderId="0" xfId="1" applyFont="1" applyFill="1" applyBorder="1" applyAlignment="1" applyProtection="1">
      <alignment vertical="center" wrapText="1"/>
      <protection locked="0"/>
    </xf>
    <xf numFmtId="44" fontId="8" fillId="0" borderId="0" xfId="5" applyNumberFormat="1" applyFont="1"/>
    <xf numFmtId="1" fontId="17" fillId="7" borderId="106" xfId="0" applyNumberFormat="1" applyFont="1" applyFill="1" applyBorder="1" applyAlignment="1" applyProtection="1">
      <alignment horizontal="center" vertical="center"/>
      <protection locked="0"/>
    </xf>
    <xf numFmtId="1" fontId="17" fillId="7" borderId="127" xfId="0" applyNumberFormat="1" applyFont="1" applyFill="1" applyBorder="1" applyAlignment="1" applyProtection="1">
      <alignment horizontal="center" vertical="center"/>
      <protection locked="0"/>
    </xf>
    <xf numFmtId="1" fontId="17" fillId="7" borderId="73" xfId="0" applyNumberFormat="1" applyFont="1" applyFill="1" applyBorder="1" applyAlignment="1" applyProtection="1">
      <alignment horizontal="center" vertical="center"/>
      <protection locked="0"/>
    </xf>
    <xf numFmtId="44" fontId="0" fillId="0" borderId="0" xfId="0" applyNumberFormat="1" applyAlignment="1">
      <alignment vertical="center" wrapText="1"/>
    </xf>
    <xf numFmtId="0" fontId="0" fillId="7" borderId="0" xfId="0" applyFill="1" applyAlignment="1">
      <alignment vertical="center" wrapText="1"/>
    </xf>
    <xf numFmtId="44" fontId="77" fillId="7" borderId="0" xfId="1" applyFont="1" applyFill="1" applyAlignment="1">
      <alignment vertical="center" wrapText="1"/>
    </xf>
    <xf numFmtId="44" fontId="0" fillId="7" borderId="0" xfId="0" applyNumberFormat="1" applyFill="1" applyAlignment="1">
      <alignment vertical="center" wrapText="1"/>
    </xf>
    <xf numFmtId="0" fontId="0" fillId="11" borderId="0" xfId="0" applyFill="1" applyAlignment="1">
      <alignment vertical="center" wrapText="1"/>
    </xf>
    <xf numFmtId="44" fontId="77" fillId="11" borderId="0" xfId="1" applyFont="1" applyFill="1" applyAlignment="1">
      <alignment vertical="center" wrapText="1"/>
    </xf>
    <xf numFmtId="44" fontId="0" fillId="11" borderId="0" xfId="0" applyNumberFormat="1" applyFill="1" applyAlignment="1">
      <alignment vertical="center" wrapText="1"/>
    </xf>
    <xf numFmtId="0" fontId="0" fillId="12" borderId="0" xfId="0" applyFill="1" applyAlignment="1">
      <alignment vertical="center" wrapText="1"/>
    </xf>
    <xf numFmtId="44" fontId="77" fillId="12" borderId="0" xfId="1" applyFont="1" applyFill="1" applyAlignment="1">
      <alignment vertical="center" wrapText="1"/>
    </xf>
    <xf numFmtId="44" fontId="0" fillId="12" borderId="0" xfId="0" applyNumberFormat="1" applyFill="1" applyAlignment="1">
      <alignment vertical="center" wrapText="1"/>
    </xf>
    <xf numFmtId="0" fontId="80" fillId="0" borderId="0" xfId="0" applyFont="1" applyAlignment="1">
      <alignment vertical="center" wrapText="1"/>
    </xf>
    <xf numFmtId="44" fontId="0" fillId="0" borderId="0" xfId="0" applyNumberFormat="1">
      <alignment vertical="top" wrapText="1"/>
    </xf>
    <xf numFmtId="44" fontId="0" fillId="0" borderId="94" xfId="1" applyFont="1" applyFill="1" applyBorder="1" applyAlignment="1" applyProtection="1">
      <alignment vertical="center" wrapText="1"/>
      <protection locked="0"/>
    </xf>
    <xf numFmtId="44" fontId="71" fillId="0" borderId="94" xfId="1" applyFont="1" applyFill="1" applyBorder="1" applyAlignment="1" applyProtection="1">
      <alignment vertical="center" wrapText="1"/>
      <protection locked="0"/>
    </xf>
    <xf numFmtId="44" fontId="71" fillId="0" borderId="115" xfId="1" applyFont="1" applyFill="1" applyBorder="1" applyAlignment="1" applyProtection="1">
      <alignment vertical="center" wrapText="1"/>
      <protection locked="0"/>
    </xf>
    <xf numFmtId="44" fontId="71" fillId="0" borderId="11" xfId="1" applyFont="1" applyFill="1" applyBorder="1" applyAlignment="1" applyProtection="1">
      <alignment vertical="center" wrapText="1"/>
      <protection locked="0"/>
    </xf>
    <xf numFmtId="0" fontId="0" fillId="0" borderId="223" xfId="0" applyNumberFormat="1" applyBorder="1" applyAlignment="1">
      <alignment vertical="center" wrapText="1"/>
    </xf>
    <xf numFmtId="0" fontId="0" fillId="0" borderId="223" xfId="0" applyBorder="1" applyAlignment="1">
      <alignment vertical="center" wrapText="1"/>
    </xf>
    <xf numFmtId="0" fontId="69" fillId="0" borderId="223" xfId="0" applyNumberFormat="1" applyFont="1" applyFill="1" applyBorder="1" applyAlignment="1" applyProtection="1">
      <alignment horizontal="center" vertical="center" wrapText="1"/>
      <protection locked="0"/>
    </xf>
    <xf numFmtId="44" fontId="0" fillId="0" borderId="223" xfId="1" applyFont="1" applyFill="1" applyBorder="1" applyAlignment="1" applyProtection="1">
      <alignment vertical="center" wrapText="1"/>
      <protection locked="0"/>
    </xf>
    <xf numFmtId="44" fontId="71" fillId="0" borderId="223" xfId="1" applyFont="1" applyFill="1" applyBorder="1" applyAlignment="1" applyProtection="1">
      <alignment vertical="center" wrapText="1"/>
      <protection locked="0"/>
    </xf>
    <xf numFmtId="49" fontId="70" fillId="0" borderId="0" xfId="0" applyNumberFormat="1" applyFont="1" applyFill="1" applyBorder="1" applyAlignment="1" applyProtection="1">
      <alignment vertical="center" wrapText="1"/>
      <protection locked="0"/>
    </xf>
    <xf numFmtId="0" fontId="45" fillId="0" borderId="0" xfId="7" applyFont="1" applyAlignment="1">
      <alignment horizontal="center" vertical="center"/>
    </xf>
    <xf numFmtId="44" fontId="37" fillId="0" borderId="0" xfId="7" applyNumberFormat="1" applyAlignment="1">
      <alignment vertical="center"/>
    </xf>
    <xf numFmtId="44" fontId="45" fillId="0" borderId="0" xfId="7" applyNumberFormat="1" applyFont="1" applyAlignment="1">
      <alignment vertical="center"/>
    </xf>
    <xf numFmtId="0" fontId="46" fillId="29" borderId="0" xfId="7" applyFont="1" applyFill="1" applyAlignment="1">
      <alignment vertical="center"/>
    </xf>
    <xf numFmtId="44" fontId="37" fillId="29" borderId="0" xfId="1" applyFont="1" applyFill="1" applyAlignment="1">
      <alignment vertical="center"/>
    </xf>
    <xf numFmtId="0" fontId="46" fillId="30" borderId="0" xfId="7" applyFont="1" applyFill="1" applyAlignment="1">
      <alignment vertical="center"/>
    </xf>
    <xf numFmtId="44" fontId="37" fillId="30" borderId="0" xfId="1" applyFont="1" applyFill="1" applyAlignment="1">
      <alignment vertical="center"/>
    </xf>
    <xf numFmtId="0" fontId="46" fillId="31" borderId="0" xfId="7" applyFont="1" applyFill="1" applyAlignment="1">
      <alignment vertical="center"/>
    </xf>
    <xf numFmtId="44" fontId="37" fillId="31" borderId="0" xfId="1" applyFont="1" applyFill="1" applyAlignment="1">
      <alignment vertical="center"/>
    </xf>
    <xf numFmtId="1" fontId="45" fillId="0" borderId="160" xfId="1" applyNumberFormat="1" applyFont="1" applyBorder="1" applyAlignment="1">
      <alignment horizontal="center" vertical="center" wrapText="1"/>
    </xf>
    <xf numFmtId="10" fontId="46" fillId="0" borderId="157" xfId="1" applyNumberFormat="1" applyFont="1" applyBorder="1" applyAlignment="1">
      <alignment horizontal="center" vertical="center"/>
    </xf>
    <xf numFmtId="10" fontId="45" fillId="23" borderId="157" xfId="1" applyNumberFormat="1" applyFont="1" applyFill="1" applyBorder="1" applyAlignment="1">
      <alignment horizontal="center" vertical="center"/>
    </xf>
    <xf numFmtId="10" fontId="37" fillId="0" borderId="157" xfId="1" applyNumberFormat="1" applyFont="1" applyBorder="1" applyAlignment="1">
      <alignment horizontal="center" vertical="center"/>
    </xf>
    <xf numFmtId="10" fontId="37" fillId="0" borderId="154" xfId="1" applyNumberFormat="1" applyFont="1" applyBorder="1" applyAlignment="1">
      <alignment horizontal="center" vertical="center"/>
    </xf>
    <xf numFmtId="10" fontId="42" fillId="23" borderId="151" xfId="1" applyNumberFormat="1" applyFont="1" applyFill="1" applyBorder="1" applyAlignment="1">
      <alignment horizontal="center" vertical="center"/>
    </xf>
    <xf numFmtId="167" fontId="37" fillId="0" borderId="0" xfId="7" applyNumberFormat="1" applyAlignment="1">
      <alignment vertical="center"/>
    </xf>
    <xf numFmtId="44" fontId="17" fillId="21" borderId="278" xfId="1" applyFont="1" applyFill="1" applyBorder="1" applyAlignment="1" applyProtection="1">
      <alignment horizontal="center" vertical="center"/>
      <protection locked="0"/>
    </xf>
    <xf numFmtId="165" fontId="17" fillId="21" borderId="279" xfId="0" applyNumberFormat="1" applyFont="1" applyFill="1" applyBorder="1" applyAlignment="1" applyProtection="1">
      <alignment horizontal="center" vertical="center"/>
      <protection locked="0"/>
    </xf>
    <xf numFmtId="44" fontId="20" fillId="21" borderId="122" xfId="1" applyFont="1" applyFill="1" applyBorder="1" applyAlignment="1" applyProtection="1">
      <alignment horizontal="center" vertical="center"/>
    </xf>
    <xf numFmtId="3" fontId="17" fillId="21" borderId="280" xfId="0" applyNumberFormat="1" applyFont="1" applyFill="1" applyBorder="1" applyAlignment="1" applyProtection="1">
      <alignment horizontal="center" vertical="center"/>
      <protection locked="0"/>
    </xf>
    <xf numFmtId="1" fontId="17" fillId="7" borderId="279" xfId="0" applyNumberFormat="1" applyFont="1" applyFill="1" applyBorder="1" applyAlignment="1" applyProtection="1">
      <alignment horizontal="center" vertical="center"/>
      <protection locked="0"/>
    </xf>
    <xf numFmtId="166" fontId="17" fillId="21" borderId="279" xfId="0" applyNumberFormat="1" applyFont="1" applyFill="1" applyBorder="1" applyAlignment="1" applyProtection="1">
      <alignment horizontal="right" vertical="center"/>
    </xf>
    <xf numFmtId="44" fontId="17" fillId="21" borderId="0" xfId="1" applyFont="1" applyFill="1" applyBorder="1" applyAlignment="1" applyProtection="1">
      <alignment horizontal="right" vertical="center"/>
      <protection locked="0"/>
    </xf>
    <xf numFmtId="164" fontId="17" fillId="21" borderId="281" xfId="0" applyNumberFormat="1" applyFont="1" applyFill="1" applyBorder="1" applyAlignment="1" applyProtection="1">
      <alignment horizontal="right" vertical="center"/>
    </xf>
    <xf numFmtId="44" fontId="17" fillId="21" borderId="282" xfId="1" applyFont="1" applyFill="1" applyBorder="1" applyAlignment="1" applyProtection="1">
      <alignment horizontal="center" vertical="center"/>
      <protection locked="0"/>
    </xf>
    <xf numFmtId="165" fontId="17" fillId="21" borderId="283" xfId="0" applyNumberFormat="1" applyFont="1" applyFill="1" applyBorder="1" applyAlignment="1" applyProtection="1">
      <alignment horizontal="center" vertical="center"/>
      <protection locked="0"/>
    </xf>
    <xf numFmtId="44" fontId="20" fillId="21" borderId="284" xfId="1" applyFont="1" applyFill="1" applyBorder="1" applyAlignment="1" applyProtection="1">
      <alignment horizontal="center" vertical="center"/>
    </xf>
    <xf numFmtId="3" fontId="17" fillId="21" borderId="284" xfId="0" applyNumberFormat="1" applyFont="1" applyFill="1" applyBorder="1" applyAlignment="1" applyProtection="1">
      <alignment horizontal="center" vertical="center"/>
      <protection locked="0"/>
    </xf>
    <xf numFmtId="1" fontId="17" fillId="7" borderId="283" xfId="0" applyNumberFormat="1" applyFont="1" applyFill="1" applyBorder="1" applyAlignment="1" applyProtection="1">
      <alignment horizontal="center" vertical="center"/>
      <protection locked="0"/>
    </xf>
    <xf numFmtId="166" fontId="17" fillId="21" borderId="283" xfId="0" applyNumberFormat="1" applyFont="1" applyFill="1" applyBorder="1" applyAlignment="1" applyProtection="1">
      <alignment horizontal="right" vertical="center"/>
    </xf>
    <xf numFmtId="44" fontId="17" fillId="21" borderId="148" xfId="1" applyFont="1" applyFill="1" applyBorder="1" applyAlignment="1" applyProtection="1">
      <alignment horizontal="right" vertical="center"/>
      <protection locked="0"/>
    </xf>
    <xf numFmtId="164" fontId="17" fillId="21" borderId="285" xfId="0" applyNumberFormat="1" applyFont="1" applyFill="1" applyBorder="1" applyAlignment="1" applyProtection="1">
      <alignment horizontal="right" vertical="center"/>
    </xf>
    <xf numFmtId="44" fontId="70" fillId="0" borderId="0" xfId="1" applyFont="1" applyFill="1" applyBorder="1" applyAlignment="1" applyProtection="1">
      <alignment vertical="center" wrapText="1"/>
    </xf>
    <xf numFmtId="4" fontId="37" fillId="0" borderId="0" xfId="7" applyNumberFormat="1" applyAlignment="1">
      <alignment vertical="center"/>
    </xf>
    <xf numFmtId="0" fontId="80" fillId="0" borderId="0" xfId="0" applyFont="1" applyAlignment="1">
      <alignment horizontal="center" vertical="center" wrapText="1"/>
    </xf>
    <xf numFmtId="167" fontId="20" fillId="7" borderId="287" xfId="0" applyNumberFormat="1" applyFont="1" applyFill="1" applyBorder="1" applyAlignment="1" applyProtection="1">
      <alignment horizontal="center" vertical="center"/>
      <protection locked="0"/>
    </xf>
    <xf numFmtId="44" fontId="71" fillId="0" borderId="289" xfId="1" applyFont="1" applyFill="1" applyBorder="1" applyAlignment="1" applyProtection="1">
      <alignment vertical="center" wrapText="1"/>
      <protection locked="0"/>
    </xf>
    <xf numFmtId="44" fontId="81" fillId="0" borderId="0" xfId="1" applyFont="1" applyFill="1" applyBorder="1" applyAlignment="1" applyProtection="1">
      <alignment horizontal="center" vertical="center" wrapText="1"/>
      <protection locked="0"/>
    </xf>
    <xf numFmtId="0" fontId="39" fillId="0" borderId="177" xfId="7" applyFont="1" applyBorder="1" applyAlignment="1">
      <alignment horizontal="left" vertical="center" wrapText="1"/>
    </xf>
    <xf numFmtId="0" fontId="37" fillId="0" borderId="172" xfId="7" applyBorder="1" applyAlignment="1">
      <alignment horizontal="left" vertical="center"/>
    </xf>
    <xf numFmtId="0" fontId="37" fillId="0" borderId="166" xfId="7" applyBorder="1" applyAlignment="1">
      <alignment horizontal="left" vertical="center" indent="2"/>
    </xf>
    <xf numFmtId="0" fontId="37" fillId="0" borderId="218" xfId="7" applyBorder="1" applyAlignment="1">
      <alignment horizontal="left" vertical="center" indent="2"/>
    </xf>
    <xf numFmtId="0" fontId="37" fillId="0" borderId="215" xfId="7" applyBorder="1" applyAlignment="1">
      <alignment horizontal="left" vertical="center"/>
    </xf>
    <xf numFmtId="0" fontId="37" fillId="0" borderId="198" xfId="7" applyBorder="1" applyAlignment="1">
      <alignment horizontal="left" vertical="center"/>
    </xf>
    <xf numFmtId="0" fontId="37" fillId="0" borderId="168" xfId="7" applyBorder="1" applyAlignment="1">
      <alignment horizontal="left" vertical="center"/>
    </xf>
    <xf numFmtId="0" fontId="46" fillId="0" borderId="166" xfId="7" applyFont="1" applyBorder="1" applyAlignment="1">
      <alignment horizontal="left" vertical="center"/>
    </xf>
    <xf numFmtId="0" fontId="46" fillId="0" borderId="168" xfId="7" applyFont="1" applyBorder="1" applyAlignment="1">
      <alignment horizontal="left" vertical="center"/>
    </xf>
    <xf numFmtId="0" fontId="46" fillId="0" borderId="151" xfId="7" applyFont="1" applyBorder="1" applyAlignment="1">
      <alignment horizontal="left" vertical="center"/>
    </xf>
    <xf numFmtId="0" fontId="37" fillId="0" borderId="192" xfId="7" applyBorder="1" applyAlignment="1">
      <alignment horizontal="left" vertical="center"/>
    </xf>
    <xf numFmtId="0" fontId="37" fillId="0" borderId="184" xfId="7" applyBorder="1" applyAlignment="1">
      <alignment horizontal="left" vertical="center" indent="2"/>
    </xf>
    <xf numFmtId="0" fontId="37" fillId="0" borderId="190" xfId="7" applyBorder="1" applyAlignment="1">
      <alignment horizontal="left" vertical="center" indent="2"/>
    </xf>
    <xf numFmtId="0" fontId="37" fillId="0" borderId="184" xfId="7" applyBorder="1" applyAlignment="1">
      <alignment horizontal="left" vertical="center" indent="3"/>
    </xf>
    <xf numFmtId="0" fontId="37" fillId="0" borderId="175" xfId="7" applyBorder="1" applyAlignment="1">
      <alignment horizontal="left" vertical="center"/>
    </xf>
    <xf numFmtId="0" fontId="37" fillId="0" borderId="166" xfId="7" applyBorder="1" applyAlignment="1">
      <alignment horizontal="left" vertical="center" indent="3"/>
    </xf>
    <xf numFmtId="0" fontId="37" fillId="0" borderId="218" xfId="7" applyBorder="1" applyAlignment="1">
      <alignment horizontal="left" vertical="center"/>
    </xf>
    <xf numFmtId="0" fontId="37" fillId="0" borderId="179" xfId="7" applyBorder="1" applyAlignment="1">
      <alignment horizontal="left" vertical="center"/>
    </xf>
    <xf numFmtId="0" fontId="37" fillId="0" borderId="184" xfId="7" applyBorder="1" applyAlignment="1">
      <alignment horizontal="left" vertical="center"/>
    </xf>
    <xf numFmtId="49" fontId="45" fillId="0" borderId="160" xfId="7" applyNumberFormat="1" applyFont="1" applyBorder="1" applyAlignment="1">
      <alignment horizontal="center" vertical="center" wrapText="1"/>
    </xf>
    <xf numFmtId="0" fontId="45" fillId="6" borderId="92" xfId="7" applyFont="1" applyFill="1" applyBorder="1" applyAlignment="1">
      <alignment horizontal="center" vertical="center"/>
    </xf>
    <xf numFmtId="0" fontId="45" fillId="6" borderId="81" xfId="7" applyFont="1" applyFill="1" applyBorder="1" applyAlignment="1">
      <alignment horizontal="center" vertical="center"/>
    </xf>
    <xf numFmtId="0" fontId="45" fillId="6" borderId="80" xfId="7" applyFont="1" applyFill="1" applyBorder="1" applyAlignment="1">
      <alignment vertical="center"/>
    </xf>
    <xf numFmtId="0" fontId="45" fillId="6" borderId="264" xfId="7" applyFont="1" applyFill="1" applyBorder="1" applyAlignment="1">
      <alignment vertical="center"/>
    </xf>
    <xf numFmtId="0" fontId="45" fillId="6" borderId="268" xfId="7" applyFont="1" applyFill="1" applyBorder="1" applyAlignment="1">
      <alignment vertical="center"/>
    </xf>
    <xf numFmtId="0" fontId="45" fillId="6" borderId="73" xfId="7" applyFont="1" applyFill="1" applyBorder="1" applyAlignment="1">
      <alignment vertical="center"/>
    </xf>
    <xf numFmtId="0" fontId="46" fillId="7" borderId="116" xfId="7" applyFont="1" applyFill="1" applyBorder="1" applyAlignment="1">
      <alignment horizontal="left" vertical="center"/>
    </xf>
    <xf numFmtId="0" fontId="37" fillId="7" borderId="116" xfId="7" applyFill="1" applyBorder="1" applyAlignment="1">
      <alignment horizontal="left" vertical="center"/>
    </xf>
    <xf numFmtId="0" fontId="37" fillId="7" borderId="265" xfId="7" applyFill="1" applyBorder="1" applyAlignment="1">
      <alignment horizontal="left" vertical="center"/>
    </xf>
    <xf numFmtId="0" fontId="37" fillId="7" borderId="266" xfId="7" applyFill="1" applyBorder="1" applyAlignment="1">
      <alignment horizontal="left" vertical="center"/>
    </xf>
    <xf numFmtId="0" fontId="46" fillId="7" borderId="266" xfId="7" applyFont="1" applyFill="1" applyBorder="1" applyAlignment="1">
      <alignment horizontal="left" vertical="center"/>
    </xf>
    <xf numFmtId="0" fontId="46" fillId="7" borderId="224" xfId="7" applyFont="1" applyFill="1" applyBorder="1" applyAlignment="1">
      <alignment horizontal="left" vertical="center"/>
    </xf>
    <xf numFmtId="0" fontId="46" fillId="7" borderId="267" xfId="7" applyFont="1" applyFill="1" applyBorder="1" applyAlignment="1">
      <alignment horizontal="left" vertical="center"/>
    </xf>
    <xf numFmtId="0" fontId="37" fillId="9" borderId="0" xfId="7" applyFill="1" applyAlignment="1">
      <alignment vertical="center"/>
    </xf>
    <xf numFmtId="0" fontId="37" fillId="7" borderId="0" xfId="7" applyFill="1" applyAlignment="1">
      <alignment horizontal="left" vertical="center"/>
    </xf>
    <xf numFmtId="0" fontId="46" fillId="7" borderId="0" xfId="7" applyFont="1" applyFill="1" applyAlignment="1">
      <alignment horizontal="left" vertical="center"/>
    </xf>
    <xf numFmtId="44" fontId="38" fillId="0" borderId="157" xfId="1" applyFont="1" applyBorder="1" applyAlignment="1">
      <alignment horizontal="center" vertical="center"/>
    </xf>
    <xf numFmtId="44" fontId="37" fillId="0" borderId="225" xfId="1" applyFont="1" applyBorder="1" applyAlignment="1">
      <alignment horizontal="center" vertical="center"/>
    </xf>
    <xf numFmtId="44" fontId="37" fillId="0" borderId="226" xfId="1" applyFont="1" applyBorder="1" applyAlignment="1" applyProtection="1">
      <alignment horizontal="center" vertical="center"/>
      <protection locked="0"/>
    </xf>
    <xf numFmtId="44" fontId="37" fillId="0" borderId="229" xfId="1" applyFont="1" applyBorder="1" applyAlignment="1" applyProtection="1">
      <alignment horizontal="center" vertical="center"/>
      <protection locked="0"/>
    </xf>
    <xf numFmtId="44" fontId="42" fillId="0" borderId="162" xfId="1" applyFont="1" applyBorder="1" applyAlignment="1">
      <alignment vertical="center"/>
    </xf>
    <xf numFmtId="44" fontId="42" fillId="0" borderId="154" xfId="1" applyFont="1" applyBorder="1" applyAlignment="1">
      <alignment vertical="center"/>
    </xf>
    <xf numFmtId="44" fontId="42" fillId="0" borderId="162" xfId="1" applyFont="1" applyBorder="1" applyAlignment="1">
      <alignment horizontal="center" vertical="center"/>
    </xf>
    <xf numFmtId="44" fontId="46" fillId="0" borderId="166" xfId="1" applyFont="1" applyBorder="1" applyAlignment="1">
      <alignment horizontal="left" vertical="center"/>
    </xf>
    <xf numFmtId="44" fontId="46" fillId="0" borderId="226" xfId="1" applyFont="1" applyBorder="1" applyAlignment="1">
      <alignment horizontal="left" vertical="center"/>
    </xf>
    <xf numFmtId="44" fontId="37" fillId="0" borderId="225" xfId="1" applyFont="1" applyBorder="1" applyAlignment="1" applyProtection="1">
      <alignment horizontal="center" vertical="center"/>
      <protection locked="0"/>
    </xf>
    <xf numFmtId="44" fontId="39" fillId="0" borderId="240" xfId="1" applyFont="1" applyBorder="1" applyAlignment="1">
      <alignment horizontal="center" vertical="center"/>
    </xf>
    <xf numFmtId="44" fontId="42" fillId="23" borderId="245" xfId="1" applyFont="1" applyFill="1" applyBorder="1" applyAlignment="1">
      <alignment horizontal="center" vertical="center"/>
    </xf>
    <xf numFmtId="44" fontId="42" fillId="23" borderId="248" xfId="1" applyFont="1" applyFill="1" applyBorder="1" applyAlignment="1">
      <alignment horizontal="center" vertical="center"/>
    </xf>
    <xf numFmtId="44" fontId="42" fillId="23" borderId="249" xfId="1" applyFont="1" applyFill="1" applyBorder="1" applyAlignment="1">
      <alignment horizontal="center" vertical="center"/>
    </xf>
    <xf numFmtId="44" fontId="39" fillId="0" borderId="157" xfId="1" applyFont="1" applyBorder="1" applyAlignment="1">
      <alignment horizontal="center" vertical="center"/>
    </xf>
    <xf numFmtId="49" fontId="42" fillId="0" borderId="0" xfId="7" applyNumberFormat="1" applyFont="1" applyAlignment="1">
      <alignment horizontal="left" vertical="center" wrapText="1"/>
    </xf>
    <xf numFmtId="0" fontId="45" fillId="0" borderId="0" xfId="7" applyFont="1" applyAlignment="1">
      <alignment horizontal="left" vertical="center"/>
    </xf>
    <xf numFmtId="49" fontId="50" fillId="0" borderId="0" xfId="7" applyNumberFormat="1" applyFont="1" applyAlignment="1">
      <alignment horizontal="center" wrapText="1"/>
    </xf>
    <xf numFmtId="0" fontId="51" fillId="0" borderId="0" xfId="7" applyFont="1"/>
    <xf numFmtId="49" fontId="59" fillId="0" borderId="0" xfId="7" applyNumberFormat="1" applyFont="1" applyAlignment="1">
      <alignment horizontal="left" vertical="center" wrapText="1"/>
    </xf>
    <xf numFmtId="49" fontId="60" fillId="0" borderId="0" xfId="7" applyNumberFormat="1" applyFont="1" applyAlignment="1">
      <alignment horizontal="left" vertical="center" wrapText="1"/>
    </xf>
    <xf numFmtId="49" fontId="42" fillId="0" borderId="0" xfId="7" applyNumberFormat="1" applyFont="1" applyAlignment="1">
      <alignment horizontal="left" wrapText="1"/>
    </xf>
    <xf numFmtId="0" fontId="37" fillId="0" borderId="0" xfId="7" applyAlignment="1">
      <alignment horizontal="left"/>
    </xf>
    <xf numFmtId="49" fontId="50" fillId="0" borderId="0" xfId="7" applyNumberFormat="1" applyFont="1" applyAlignment="1">
      <alignment horizontal="center" vertical="center" wrapText="1"/>
    </xf>
    <xf numFmtId="0" fontId="37" fillId="0" borderId="0" xfId="7" applyAlignment="1">
      <alignment horizontal="center" wrapText="1"/>
    </xf>
    <xf numFmtId="49" fontId="42" fillId="0" borderId="161" xfId="7" applyNumberFormat="1" applyFont="1" applyBorder="1" applyAlignment="1">
      <alignment horizontal="center" vertical="center" wrapText="1"/>
    </xf>
    <xf numFmtId="0" fontId="37" fillId="0" borderId="161" xfId="7" applyBorder="1" applyAlignment="1">
      <alignment vertical="center"/>
    </xf>
    <xf numFmtId="49" fontId="48" fillId="0" borderId="162" xfId="7" applyNumberFormat="1" applyFont="1" applyBorder="1" applyAlignment="1">
      <alignment horizontal="center" vertical="center" wrapText="1"/>
    </xf>
    <xf numFmtId="0" fontId="49" fillId="0" borderId="161" xfId="7" applyFont="1" applyBorder="1" applyAlignment="1">
      <alignment horizontal="center" vertical="center"/>
    </xf>
    <xf numFmtId="0" fontId="37" fillId="0" borderId="163" xfId="7" applyBorder="1" applyAlignment="1">
      <alignment vertical="center"/>
    </xf>
    <xf numFmtId="0" fontId="80" fillId="0" borderId="0" xfId="0" applyFont="1" applyAlignment="1">
      <alignment horizontal="center" vertical="center" wrapText="1"/>
    </xf>
    <xf numFmtId="49" fontId="38" fillId="0" borderId="250" xfId="7" applyNumberFormat="1" applyFont="1" applyBorder="1" applyAlignment="1">
      <alignment vertical="center" wrapText="1"/>
    </xf>
    <xf numFmtId="0" fontId="46" fillId="0" borderId="158" xfId="7" applyFont="1" applyBorder="1" applyAlignment="1">
      <alignment vertical="center"/>
    </xf>
    <xf numFmtId="0" fontId="46" fillId="0" borderId="251" xfId="7" applyFont="1" applyBorder="1" applyAlignment="1">
      <alignment vertical="center"/>
    </xf>
    <xf numFmtId="49" fontId="38" fillId="0" borderId="252" xfId="7" applyNumberFormat="1" applyFont="1" applyBorder="1" applyAlignment="1">
      <alignment vertical="center" wrapText="1"/>
    </xf>
    <xf numFmtId="0" fontId="46" fillId="0" borderId="155" xfId="7" applyFont="1" applyBorder="1" applyAlignment="1">
      <alignment vertical="center"/>
    </xf>
    <xf numFmtId="0" fontId="46" fillId="0" borderId="253" xfId="7" applyFont="1" applyBorder="1" applyAlignment="1">
      <alignment vertical="center"/>
    </xf>
    <xf numFmtId="49" fontId="38" fillId="0" borderId="254" xfId="7" applyNumberFormat="1" applyFont="1" applyBorder="1" applyAlignment="1">
      <alignment vertical="center" wrapText="1"/>
    </xf>
    <xf numFmtId="0" fontId="46" fillId="0" borderId="255" xfId="7" applyFont="1" applyBorder="1" applyAlignment="1">
      <alignment vertical="center"/>
    </xf>
    <xf numFmtId="0" fontId="46" fillId="0" borderId="256" xfId="7" applyFont="1" applyBorder="1" applyAlignment="1">
      <alignment vertical="center"/>
    </xf>
    <xf numFmtId="49" fontId="39" fillId="0" borderId="0" xfId="7" applyNumberFormat="1" applyFont="1" applyAlignment="1">
      <alignment vertical="center"/>
    </xf>
    <xf numFmtId="0" fontId="37" fillId="0" borderId="0" xfId="7" applyAlignment="1">
      <alignment vertical="center"/>
    </xf>
    <xf numFmtId="49" fontId="50" fillId="23" borderId="165" xfId="7" applyNumberFormat="1" applyFont="1" applyFill="1" applyBorder="1" applyAlignment="1">
      <alignment horizontal="center" vertical="center"/>
    </xf>
    <xf numFmtId="0" fontId="51" fillId="23" borderId="164" xfId="7" applyFont="1" applyFill="1" applyBorder="1" applyAlignment="1">
      <alignment horizontal="center" vertical="center"/>
    </xf>
    <xf numFmtId="0" fontId="51" fillId="23" borderId="243" xfId="7" applyFont="1" applyFill="1" applyBorder="1" applyAlignment="1">
      <alignment horizontal="center" vertical="center"/>
    </xf>
    <xf numFmtId="0" fontId="48" fillId="0" borderId="162" xfId="7" applyFont="1" applyBorder="1" applyAlignment="1">
      <alignment horizontal="center" vertical="center"/>
    </xf>
    <xf numFmtId="0" fontId="65" fillId="0" borderId="161" xfId="7" applyFont="1" applyBorder="1" applyAlignment="1">
      <alignment vertical="center"/>
    </xf>
    <xf numFmtId="0" fontId="44" fillId="0" borderId="153" xfId="7" applyFont="1" applyBorder="1" applyAlignment="1">
      <alignment horizontal="center" vertical="center"/>
    </xf>
    <xf numFmtId="0" fontId="37" fillId="0" borderId="152" xfId="7" applyBorder="1" applyAlignment="1">
      <alignment vertical="center"/>
    </xf>
    <xf numFmtId="0" fontId="46" fillId="0" borderId="161" xfId="7" applyFont="1" applyBorder="1" applyAlignment="1">
      <alignment horizontal="center" vertical="center"/>
    </xf>
    <xf numFmtId="0" fontId="46" fillId="0" borderId="163" xfId="7" applyFont="1" applyBorder="1" applyAlignment="1">
      <alignment horizontal="center" vertical="center"/>
    </xf>
    <xf numFmtId="0" fontId="39" fillId="0" borderId="0" xfId="7" applyFont="1" applyAlignment="1">
      <alignment horizontal="left" vertical="center" wrapText="1"/>
    </xf>
    <xf numFmtId="0" fontId="45" fillId="6" borderId="80" xfId="7" applyFont="1" applyFill="1" applyBorder="1" applyAlignment="1">
      <alignment horizontal="center" vertical="center"/>
    </xf>
    <xf numFmtId="0" fontId="45" fillId="6" borderId="92" xfId="7" applyFont="1" applyFill="1" applyBorder="1" applyAlignment="1">
      <alignment horizontal="center" vertical="center"/>
    </xf>
    <xf numFmtId="0" fontId="45" fillId="6" borderId="81" xfId="7" applyFont="1" applyFill="1" applyBorder="1" applyAlignment="1">
      <alignment horizontal="center" vertical="center"/>
    </xf>
    <xf numFmtId="0" fontId="46" fillId="9" borderId="0" xfId="7" applyFont="1" applyFill="1" applyAlignment="1">
      <alignment horizontal="left" vertical="center"/>
    </xf>
    <xf numFmtId="0" fontId="46" fillId="9" borderId="266" xfId="7" applyFont="1" applyFill="1" applyBorder="1" applyAlignment="1">
      <alignment horizontal="left" vertical="center"/>
    </xf>
    <xf numFmtId="0" fontId="37" fillId="9" borderId="0" xfId="7" applyFill="1" applyAlignment="1">
      <alignment horizontal="left" vertical="center"/>
    </xf>
    <xf numFmtId="0" fontId="37" fillId="9" borderId="266" xfId="7" applyFill="1" applyBorder="1" applyAlignment="1">
      <alignment horizontal="left" vertical="center"/>
    </xf>
    <xf numFmtId="0" fontId="0" fillId="0" borderId="116" xfId="0" applyBorder="1" applyAlignment="1">
      <alignment vertical="center" wrapText="1"/>
    </xf>
    <xf numFmtId="44" fontId="75" fillId="25" borderId="80" xfId="0" applyNumberFormat="1" applyFont="1" applyFill="1" applyBorder="1" applyAlignment="1">
      <alignment vertical="center"/>
    </xf>
    <xf numFmtId="44" fontId="75" fillId="25" borderId="81" xfId="0" applyNumberFormat="1" applyFont="1" applyFill="1" applyBorder="1" applyAlignment="1">
      <alignment vertical="center"/>
    </xf>
    <xf numFmtId="0" fontId="74" fillId="24" borderId="80" xfId="0" applyFont="1" applyFill="1" applyBorder="1" applyAlignment="1">
      <alignment horizontal="center" vertical="center" wrapText="1"/>
    </xf>
    <xf numFmtId="0" fontId="74" fillId="24" borderId="81" xfId="0" applyFont="1" applyFill="1" applyBorder="1" applyAlignment="1">
      <alignment horizontal="center" vertical="center" wrapText="1"/>
    </xf>
    <xf numFmtId="0" fontId="74" fillId="24" borderId="92" xfId="0" applyFont="1" applyFill="1" applyBorder="1" applyAlignment="1">
      <alignment horizontal="center" vertical="center" wrapText="1"/>
    </xf>
    <xf numFmtId="44" fontId="74" fillId="24" borderId="80" xfId="0" applyNumberFormat="1" applyFont="1" applyFill="1" applyBorder="1" applyAlignment="1">
      <alignment horizontal="center" vertical="center"/>
    </xf>
    <xf numFmtId="44" fontId="74" fillId="24" borderId="81" xfId="0" applyNumberFormat="1" applyFont="1" applyFill="1" applyBorder="1" applyAlignment="1">
      <alignment horizontal="center" vertical="center"/>
    </xf>
    <xf numFmtId="44" fontId="8" fillId="25" borderId="80" xfId="0" applyNumberFormat="1" applyFont="1" applyFill="1" applyBorder="1" applyAlignment="1">
      <alignment vertical="center"/>
    </xf>
    <xf numFmtId="44" fontId="8" fillId="25" borderId="81" xfId="0" applyNumberFormat="1" applyFont="1" applyFill="1" applyBorder="1" applyAlignment="1">
      <alignment vertical="center"/>
    </xf>
    <xf numFmtId="44" fontId="76" fillId="25" borderId="80" xfId="0" applyNumberFormat="1" applyFont="1" applyFill="1" applyBorder="1" applyAlignment="1">
      <alignment vertical="center"/>
    </xf>
    <xf numFmtId="44" fontId="76" fillId="25" borderId="81" xfId="0" applyNumberFormat="1" applyFont="1" applyFill="1" applyBorder="1" applyAlignment="1">
      <alignment vertical="center"/>
    </xf>
    <xf numFmtId="0" fontId="74" fillId="24" borderId="53" xfId="0" applyNumberFormat="1" applyFont="1" applyFill="1" applyBorder="1" applyAlignment="1">
      <alignment horizontal="center" vertical="center" wrapText="1"/>
    </xf>
    <xf numFmtId="0" fontId="74" fillId="24" borderId="264" xfId="0" applyFont="1" applyFill="1" applyBorder="1" applyAlignment="1">
      <alignment horizontal="center" vertical="center" wrapText="1"/>
    </xf>
    <xf numFmtId="0" fontId="74" fillId="24" borderId="73" xfId="0" applyFont="1" applyFill="1" applyBorder="1" applyAlignment="1">
      <alignment horizontal="center" vertical="center" wrapText="1"/>
    </xf>
    <xf numFmtId="0" fontId="74" fillId="24" borderId="53" xfId="0" applyFont="1" applyFill="1" applyBorder="1" applyAlignment="1">
      <alignment horizontal="center" vertical="center" wrapText="1"/>
    </xf>
    <xf numFmtId="44" fontId="21" fillId="7" borderId="15" xfId="1" applyFont="1" applyFill="1" applyBorder="1" applyAlignment="1" applyProtection="1">
      <alignment horizontal="center" vertical="center"/>
      <protection locked="0"/>
    </xf>
    <xf numFmtId="44" fontId="21" fillId="7" borderId="12" xfId="1" applyFont="1" applyFill="1" applyBorder="1" applyAlignment="1" applyProtection="1">
      <alignment horizontal="center" vertical="center"/>
      <protection locked="0"/>
    </xf>
    <xf numFmtId="44" fontId="21" fillId="7" borderId="91" xfId="1" applyFont="1" applyFill="1" applyBorder="1" applyAlignment="1" applyProtection="1">
      <alignment horizontal="center" vertical="center"/>
      <protection locked="0"/>
    </xf>
    <xf numFmtId="0" fontId="18" fillId="20" borderId="11" xfId="0" applyFont="1" applyFill="1" applyBorder="1" applyAlignment="1">
      <alignment horizontal="center" vertical="top" wrapText="1"/>
    </xf>
    <xf numFmtId="0" fontId="18" fillId="20" borderId="12" xfId="0" applyFont="1" applyFill="1" applyBorder="1" applyAlignment="1">
      <alignment horizontal="center" vertical="top" wrapText="1"/>
    </xf>
    <xf numFmtId="0" fontId="18" fillId="20" borderId="13" xfId="0" applyFont="1" applyFill="1" applyBorder="1" applyAlignment="1">
      <alignment horizontal="center" vertical="top" wrapText="1"/>
    </xf>
    <xf numFmtId="49" fontId="14" fillId="5" borderId="11" xfId="0" applyNumberFormat="1" applyFont="1" applyFill="1" applyBorder="1" applyAlignment="1" applyProtection="1">
      <alignment horizontal="center" vertical="center"/>
      <protection locked="0"/>
    </xf>
    <xf numFmtId="49" fontId="14" fillId="5" borderId="12" xfId="0" applyNumberFormat="1" applyFont="1" applyFill="1" applyBorder="1" applyAlignment="1" applyProtection="1">
      <alignment horizontal="center" vertical="center"/>
      <protection locked="0"/>
    </xf>
    <xf numFmtId="49" fontId="14" fillId="5" borderId="13" xfId="0" applyNumberFormat="1" applyFont="1" applyFill="1" applyBorder="1" applyAlignment="1" applyProtection="1">
      <alignment horizontal="center" vertical="center"/>
      <protection locked="0"/>
    </xf>
    <xf numFmtId="49" fontId="21" fillId="7" borderId="102" xfId="0" applyNumberFormat="1" applyFont="1" applyFill="1" applyBorder="1" applyAlignment="1" applyProtection="1">
      <alignment horizontal="center" vertical="center"/>
      <protection locked="0"/>
    </xf>
    <xf numFmtId="49" fontId="21" fillId="7" borderId="17" xfId="0" applyNumberFormat="1" applyFont="1" applyFill="1" applyBorder="1" applyAlignment="1" applyProtection="1">
      <alignment horizontal="center" vertical="center"/>
      <protection locked="0"/>
    </xf>
    <xf numFmtId="49" fontId="21" fillId="7" borderId="21" xfId="0" applyNumberFormat="1" applyFont="1" applyFill="1" applyBorder="1" applyAlignment="1" applyProtection="1">
      <alignment horizontal="center" vertical="center"/>
      <protection locked="0"/>
    </xf>
    <xf numFmtId="49" fontId="17" fillId="4" borderId="7" xfId="0" applyNumberFormat="1" applyFont="1" applyFill="1" applyBorder="1" applyAlignment="1" applyProtection="1">
      <alignment horizontal="left" vertical="center"/>
      <protection locked="0"/>
    </xf>
    <xf numFmtId="49" fontId="17" fillId="4" borderId="10" xfId="0" applyNumberFormat="1" applyFont="1" applyFill="1" applyBorder="1" applyAlignment="1" applyProtection="1">
      <alignment horizontal="left" vertical="center"/>
      <protection locked="0"/>
    </xf>
    <xf numFmtId="49" fontId="17" fillId="4" borderId="8" xfId="0" applyNumberFormat="1" applyFont="1" applyFill="1" applyBorder="1" applyAlignment="1" applyProtection="1">
      <alignment horizontal="left" vertical="center"/>
      <protection locked="0"/>
    </xf>
    <xf numFmtId="49" fontId="17" fillId="3" borderId="7" xfId="0" applyNumberFormat="1" applyFont="1" applyFill="1" applyBorder="1" applyProtection="1">
      <alignment vertical="top" wrapText="1"/>
      <protection locked="0"/>
    </xf>
    <xf numFmtId="49" fontId="17" fillId="3" borderId="10" xfId="0" applyNumberFormat="1" applyFont="1" applyFill="1" applyBorder="1" applyProtection="1">
      <alignment vertical="top" wrapText="1"/>
      <protection locked="0"/>
    </xf>
    <xf numFmtId="49" fontId="17" fillId="3" borderId="8" xfId="0" applyNumberFormat="1" applyFont="1" applyFill="1" applyBorder="1" applyProtection="1">
      <alignment vertical="top" wrapText="1"/>
      <protection locked="0"/>
    </xf>
    <xf numFmtId="49" fontId="17" fillId="0" borderId="53" xfId="0" applyNumberFormat="1" applyFont="1" applyFill="1" applyBorder="1" applyAlignment="1" applyProtection="1">
      <alignment horizontal="center" vertical="center" wrapText="1"/>
      <protection locked="0"/>
    </xf>
    <xf numFmtId="49" fontId="18" fillId="7" borderId="12" xfId="0" applyNumberFormat="1" applyFont="1" applyFill="1" applyBorder="1" applyAlignment="1" applyProtection="1">
      <alignment horizontal="center" vertical="center"/>
      <protection locked="0"/>
    </xf>
    <xf numFmtId="49" fontId="18" fillId="7" borderId="91" xfId="0" applyNumberFormat="1" applyFont="1" applyFill="1" applyBorder="1" applyAlignment="1" applyProtection="1">
      <alignment horizontal="center" vertical="center"/>
      <protection locked="0"/>
    </xf>
    <xf numFmtId="49" fontId="17" fillId="9" borderId="22" xfId="0" applyNumberFormat="1" applyFont="1" applyFill="1" applyBorder="1" applyAlignment="1" applyProtection="1">
      <alignment horizontal="center" vertical="center"/>
      <protection locked="0"/>
    </xf>
    <xf numFmtId="49" fontId="17" fillId="9" borderId="45" xfId="0" applyNumberFormat="1" applyFont="1" applyFill="1" applyBorder="1" applyAlignment="1" applyProtection="1">
      <alignment horizontal="center" vertical="center"/>
      <protection locked="0"/>
    </xf>
    <xf numFmtId="49" fontId="17" fillId="10" borderId="53" xfId="0" applyNumberFormat="1" applyFont="1" applyFill="1" applyBorder="1" applyAlignment="1" applyProtection="1">
      <alignment horizontal="center" vertical="center"/>
      <protection locked="0"/>
    </xf>
    <xf numFmtId="49" fontId="17" fillId="11" borderId="53" xfId="0" applyNumberFormat="1" applyFont="1" applyFill="1" applyBorder="1" applyAlignment="1" applyProtection="1">
      <alignment horizontal="center" vertical="center" wrapText="1"/>
      <protection locked="0"/>
    </xf>
    <xf numFmtId="49" fontId="17" fillId="8" borderId="53" xfId="0" applyNumberFormat="1" applyFont="1" applyFill="1" applyBorder="1" applyAlignment="1" applyProtection="1">
      <alignment horizontal="center" vertical="center"/>
      <protection locked="0"/>
    </xf>
    <xf numFmtId="49" fontId="17" fillId="8" borderId="53" xfId="0" applyNumberFormat="1" applyFont="1" applyFill="1" applyBorder="1" applyAlignment="1" applyProtection="1">
      <alignment horizontal="center" vertical="center" wrapText="1"/>
      <protection locked="0"/>
    </xf>
    <xf numFmtId="49" fontId="17" fillId="0" borderId="10" xfId="0" applyNumberFormat="1" applyFont="1" applyFill="1" applyBorder="1" applyAlignment="1" applyProtection="1">
      <alignment vertical="center"/>
      <protection locked="0"/>
    </xf>
    <xf numFmtId="49" fontId="17" fillId="0" borderId="8" xfId="0" applyNumberFormat="1" applyFont="1" applyFill="1" applyBorder="1" applyAlignment="1" applyProtection="1">
      <alignment vertical="center"/>
      <protection locked="0"/>
    </xf>
    <xf numFmtId="49" fontId="18" fillId="7" borderId="11" xfId="0" applyNumberFormat="1" applyFont="1" applyFill="1" applyBorder="1" applyAlignment="1" applyProtection="1">
      <alignment horizontal="center" vertical="center"/>
      <protection locked="0"/>
    </xf>
    <xf numFmtId="49" fontId="17" fillId="9" borderId="55" xfId="3" applyNumberFormat="1" applyFont="1" applyFill="1" applyBorder="1" applyAlignment="1" applyProtection="1">
      <alignment horizontal="left" vertical="center"/>
      <protection locked="0"/>
    </xf>
    <xf numFmtId="49" fontId="17" fillId="9" borderId="147" xfId="3" applyNumberFormat="1" applyFont="1" applyFill="1" applyBorder="1" applyAlignment="1" applyProtection="1">
      <alignment horizontal="left" vertical="center"/>
      <protection locked="0"/>
    </xf>
    <xf numFmtId="49" fontId="17" fillId="10" borderId="49" xfId="0" applyNumberFormat="1" applyFont="1" applyFill="1" applyBorder="1" applyAlignment="1" applyProtection="1">
      <alignment horizontal="left" vertical="center"/>
      <protection locked="0"/>
    </xf>
    <xf numFmtId="49" fontId="17" fillId="10" borderId="92" xfId="0" applyNumberFormat="1" applyFont="1" applyFill="1" applyBorder="1" applyAlignment="1" applyProtection="1">
      <alignment horizontal="left" vertical="center"/>
      <protection locked="0"/>
    </xf>
    <xf numFmtId="49" fontId="17" fillId="11" borderId="49" xfId="0" applyNumberFormat="1" applyFont="1" applyFill="1" applyBorder="1" applyAlignment="1" applyProtection="1">
      <alignment horizontal="left" vertical="center"/>
      <protection locked="0"/>
    </xf>
    <xf numFmtId="49" fontId="17" fillId="11" borderId="92" xfId="0" applyNumberFormat="1" applyFont="1" applyFill="1" applyBorder="1" applyAlignment="1" applyProtection="1">
      <alignment horizontal="left" vertical="center"/>
      <protection locked="0"/>
    </xf>
    <xf numFmtId="49" fontId="17" fillId="8" borderId="49" xfId="0" applyNumberFormat="1" applyFont="1" applyFill="1" applyBorder="1" applyAlignment="1" applyProtection="1">
      <alignment horizontal="left" vertical="center"/>
      <protection locked="0"/>
    </xf>
    <xf numFmtId="49" fontId="17" fillId="8" borderId="92" xfId="0" applyNumberFormat="1" applyFont="1" applyFill="1" applyBorder="1" applyAlignment="1" applyProtection="1">
      <alignment horizontal="left" vertical="center"/>
      <protection locked="0"/>
    </xf>
    <xf numFmtId="49" fontId="17" fillId="4" borderId="80" xfId="0" applyNumberFormat="1" applyFont="1" applyFill="1" applyBorder="1" applyAlignment="1" applyProtection="1">
      <alignment vertical="center"/>
      <protection locked="0"/>
    </xf>
    <xf numFmtId="49" fontId="17" fillId="4" borderId="81" xfId="0" applyNumberFormat="1" applyFont="1" applyFill="1" applyBorder="1" applyAlignment="1" applyProtection="1">
      <alignment vertical="center"/>
      <protection locked="0"/>
    </xf>
    <xf numFmtId="17" fontId="17" fillId="10" borderId="10" xfId="0" applyNumberFormat="1" applyFont="1" applyFill="1" applyBorder="1" applyAlignment="1" applyProtection="1">
      <alignment vertical="center"/>
      <protection locked="0"/>
    </xf>
    <xf numFmtId="17" fontId="17" fillId="10" borderId="8" xfId="0" applyNumberFormat="1" applyFont="1" applyFill="1" applyBorder="1" applyAlignment="1" applyProtection="1">
      <alignment vertical="center"/>
      <protection locked="0"/>
    </xf>
    <xf numFmtId="49" fontId="23" fillId="6" borderId="11" xfId="0" applyNumberFormat="1" applyFont="1" applyFill="1" applyBorder="1" applyAlignment="1" applyProtection="1">
      <alignment horizontal="center" vertical="center" wrapText="1"/>
      <protection locked="0"/>
    </xf>
    <xf numFmtId="49" fontId="23" fillId="6" borderId="12" xfId="0" applyNumberFormat="1" applyFont="1" applyFill="1" applyBorder="1" applyAlignment="1" applyProtection="1">
      <alignment horizontal="center" vertical="center" wrapText="1"/>
      <protection locked="0"/>
    </xf>
    <xf numFmtId="49" fontId="23" fillId="6" borderId="16" xfId="0" applyNumberFormat="1" applyFont="1" applyFill="1" applyBorder="1" applyAlignment="1" applyProtection="1">
      <alignment horizontal="center" vertical="center" wrapText="1"/>
      <protection locked="0"/>
    </xf>
    <xf numFmtId="49" fontId="17" fillId="7" borderId="82" xfId="0" applyNumberFormat="1" applyFont="1" applyFill="1" applyBorder="1" applyAlignment="1" applyProtection="1">
      <alignment horizontal="center" vertical="center"/>
      <protection locked="0"/>
    </xf>
    <xf numFmtId="49" fontId="17" fillId="7" borderId="83" xfId="0" applyNumberFormat="1" applyFont="1" applyFill="1" applyBorder="1" applyAlignment="1" applyProtection="1">
      <alignment horizontal="center" vertical="center"/>
      <protection locked="0"/>
    </xf>
    <xf numFmtId="49" fontId="17" fillId="0" borderId="49" xfId="0" applyNumberFormat="1" applyFont="1" applyFill="1" applyBorder="1" applyAlignment="1" applyProtection="1">
      <alignment horizontal="left" vertical="center" wrapText="1"/>
      <protection locked="0"/>
    </xf>
    <xf numFmtId="49" fontId="17" fillId="0" borderId="92" xfId="0" applyNumberFormat="1" applyFont="1" applyFill="1" applyBorder="1" applyAlignment="1" applyProtection="1">
      <alignment horizontal="left" vertical="center" wrapText="1"/>
      <protection locked="0"/>
    </xf>
    <xf numFmtId="49" fontId="17" fillId="11" borderId="10" xfId="0" applyNumberFormat="1" applyFont="1" applyFill="1" applyBorder="1" applyAlignment="1" applyProtection="1">
      <alignment vertical="center"/>
      <protection locked="0"/>
    </xf>
    <xf numFmtId="49" fontId="17" fillId="11" borderId="8" xfId="0" applyNumberFormat="1" applyFont="1" applyFill="1" applyBorder="1" applyAlignment="1" applyProtection="1">
      <alignment vertical="center"/>
      <protection locked="0"/>
    </xf>
    <xf numFmtId="49" fontId="17" fillId="8" borderId="10" xfId="0" applyNumberFormat="1" applyFont="1" applyFill="1" applyBorder="1" applyAlignment="1" applyProtection="1">
      <alignment vertical="center"/>
      <protection locked="0"/>
    </xf>
    <xf numFmtId="49" fontId="17" fillId="8" borderId="8" xfId="0" applyNumberFormat="1" applyFont="1" applyFill="1" applyBorder="1" applyAlignment="1" applyProtection="1">
      <alignment vertical="center"/>
      <protection locked="0"/>
    </xf>
    <xf numFmtId="49" fontId="18" fillId="7" borderId="15" xfId="0" applyNumberFormat="1" applyFont="1" applyFill="1" applyBorder="1" applyAlignment="1" applyProtection="1">
      <alignment horizontal="center" vertical="center"/>
      <protection locked="0"/>
    </xf>
    <xf numFmtId="17" fontId="17" fillId="9" borderId="47" xfId="0" applyNumberFormat="1" applyFont="1" applyFill="1" applyBorder="1" applyAlignment="1" applyProtection="1">
      <alignment vertical="center"/>
      <protection locked="0"/>
    </xf>
    <xf numFmtId="17" fontId="17" fillId="9" borderId="48" xfId="0" applyNumberFormat="1" applyFont="1" applyFill="1" applyBorder="1" applyAlignment="1" applyProtection="1">
      <alignment vertical="center"/>
      <protection locked="0"/>
    </xf>
    <xf numFmtId="49" fontId="17" fillId="0" borderId="53" xfId="0" applyNumberFormat="1" applyFont="1" applyFill="1" applyBorder="1" applyAlignment="1" applyProtection="1">
      <alignment horizontal="center" vertical="center"/>
      <protection locked="0"/>
    </xf>
    <xf numFmtId="49" fontId="17" fillId="3" borderId="7" xfId="0" applyNumberFormat="1" applyFont="1" applyFill="1" applyBorder="1" applyAlignment="1" applyProtection="1">
      <alignment horizontal="left" vertical="center"/>
      <protection locked="0"/>
    </xf>
    <xf numFmtId="49" fontId="17" fillId="3" borderId="10" xfId="0" applyNumberFormat="1" applyFont="1" applyFill="1" applyBorder="1" applyAlignment="1" applyProtection="1">
      <alignment horizontal="left" vertical="center"/>
      <protection locked="0"/>
    </xf>
    <xf numFmtId="49" fontId="17" fillId="3" borderId="8" xfId="0" applyNumberFormat="1" applyFont="1" applyFill="1" applyBorder="1" applyAlignment="1" applyProtection="1">
      <alignment horizontal="left" vertical="center"/>
      <protection locked="0"/>
    </xf>
    <xf numFmtId="49" fontId="17" fillId="4" borderId="103" xfId="0" applyNumberFormat="1" applyFont="1" applyFill="1" applyBorder="1" applyAlignment="1" applyProtection="1">
      <alignment vertical="center"/>
      <protection locked="0"/>
    </xf>
    <xf numFmtId="49" fontId="17" fillId="4" borderId="104" xfId="0" applyNumberFormat="1" applyFont="1" applyFill="1" applyBorder="1" applyAlignment="1" applyProtection="1">
      <alignment vertical="center"/>
      <protection locked="0"/>
    </xf>
    <xf numFmtId="49" fontId="22" fillId="7" borderId="11" xfId="0" applyNumberFormat="1" applyFont="1" applyFill="1" applyBorder="1" applyAlignment="1" applyProtection="1">
      <alignment horizontal="center" vertical="center" wrapText="1"/>
      <protection locked="0"/>
    </xf>
    <xf numFmtId="49" fontId="22" fillId="7" borderId="13" xfId="0" applyNumberFormat="1" applyFont="1" applyFill="1" applyBorder="1" applyAlignment="1" applyProtection="1">
      <alignment horizontal="center" vertical="center" wrapText="1"/>
      <protection locked="0"/>
    </xf>
    <xf numFmtId="0" fontId="21" fillId="7" borderId="27" xfId="0" applyNumberFormat="1" applyFont="1" applyFill="1" applyBorder="1" applyAlignment="1" applyProtection="1">
      <alignment horizontal="center" vertical="center" wrapText="1"/>
      <protection locked="0"/>
    </xf>
    <xf numFmtId="0" fontId="21" fillId="7" borderId="13" xfId="0" applyNumberFormat="1" applyFont="1" applyFill="1" applyBorder="1" applyAlignment="1" applyProtection="1">
      <alignment horizontal="center" vertical="center" wrapText="1"/>
      <protection locked="0"/>
    </xf>
    <xf numFmtId="49" fontId="21" fillId="7" borderId="11" xfId="0" applyNumberFormat="1" applyFont="1" applyFill="1" applyBorder="1" applyAlignment="1" applyProtection="1">
      <alignment horizontal="right" vertical="center"/>
      <protection locked="0"/>
    </xf>
    <xf numFmtId="49" fontId="21" fillId="7" borderId="12" xfId="0" applyNumberFormat="1" applyFont="1" applyFill="1" applyBorder="1" applyAlignment="1" applyProtection="1">
      <alignment horizontal="right" vertical="center"/>
      <protection locked="0"/>
    </xf>
    <xf numFmtId="0" fontId="18" fillId="20" borderId="12" xfId="0" applyFont="1" applyFill="1" applyBorder="1" applyAlignment="1">
      <alignment horizontal="right" vertical="top" wrapText="1"/>
    </xf>
    <xf numFmtId="49" fontId="17" fillId="4" borderId="47" xfId="0" applyNumberFormat="1" applyFont="1" applyFill="1" applyBorder="1" applyAlignment="1" applyProtection="1">
      <alignment horizontal="left" vertical="center"/>
      <protection locked="0"/>
    </xf>
    <xf numFmtId="49" fontId="17" fillId="4" borderId="96" xfId="0" applyNumberFormat="1" applyFont="1" applyFill="1" applyBorder="1" applyAlignment="1" applyProtection="1">
      <alignment horizontal="left" vertical="center"/>
      <protection locked="0"/>
    </xf>
    <xf numFmtId="49" fontId="17" fillId="4" borderId="48" xfId="0" applyNumberFormat="1" applyFont="1" applyFill="1" applyBorder="1" applyAlignment="1" applyProtection="1">
      <alignment horizontal="left" vertical="center"/>
      <protection locked="0"/>
    </xf>
    <xf numFmtId="0" fontId="13" fillId="0" borderId="18" xfId="0" applyNumberFormat="1" applyFont="1" applyBorder="1" applyAlignment="1" applyProtection="1">
      <alignment horizontal="center" vertical="center" wrapText="1"/>
      <protection locked="0"/>
    </xf>
    <xf numFmtId="0" fontId="13" fillId="0" borderId="54" xfId="0" applyNumberFormat="1" applyFont="1" applyBorder="1" applyAlignment="1" applyProtection="1">
      <alignment horizontal="center" vertical="center" wrapText="1"/>
      <protection locked="0"/>
    </xf>
    <xf numFmtId="49" fontId="17" fillId="4" borderId="78" xfId="0" applyNumberFormat="1" applyFont="1" applyFill="1" applyBorder="1" applyAlignment="1" applyProtection="1">
      <alignment vertical="center"/>
      <protection locked="0"/>
    </xf>
    <xf numFmtId="49" fontId="17" fillId="4" borderId="79" xfId="0" applyNumberFormat="1" applyFont="1" applyFill="1" applyBorder="1" applyAlignment="1" applyProtection="1">
      <alignment vertical="center"/>
      <protection locked="0"/>
    </xf>
    <xf numFmtId="0" fontId="21" fillId="8" borderId="22" xfId="0" applyFont="1" applyFill="1" applyBorder="1" applyAlignment="1" applyProtection="1">
      <alignment horizontal="center" vertical="center"/>
      <protection locked="0"/>
    </xf>
    <xf numFmtId="49" fontId="17" fillId="0" borderId="49" xfId="0" applyNumberFormat="1" applyFont="1" applyFill="1" applyBorder="1" applyAlignment="1" applyProtection="1">
      <alignment horizontal="left" vertical="center"/>
      <protection locked="0"/>
    </xf>
    <xf numFmtId="49" fontId="17" fillId="0" borderId="92" xfId="0" applyNumberFormat="1" applyFont="1" applyFill="1" applyBorder="1" applyAlignment="1" applyProtection="1">
      <alignment horizontal="left" vertical="center"/>
      <protection locked="0"/>
    </xf>
    <xf numFmtId="49" fontId="17" fillId="4" borderId="124" xfId="0" applyNumberFormat="1" applyFont="1" applyFill="1" applyBorder="1" applyAlignment="1" applyProtection="1">
      <alignment vertical="center"/>
      <protection locked="0"/>
    </xf>
    <xf numFmtId="49" fontId="17" fillId="4" borderId="123" xfId="0" applyNumberFormat="1" applyFont="1" applyFill="1" applyBorder="1" applyAlignment="1" applyProtection="1">
      <alignment vertical="center"/>
      <protection locked="0"/>
    </xf>
    <xf numFmtId="49" fontId="17" fillId="3" borderId="97" xfId="0" applyNumberFormat="1" applyFont="1" applyFill="1" applyBorder="1" applyProtection="1">
      <alignment vertical="top" wrapText="1"/>
      <protection locked="0"/>
    </xf>
    <xf numFmtId="49" fontId="17" fillId="3" borderId="98" xfId="0" applyNumberFormat="1" applyFont="1" applyFill="1" applyBorder="1" applyProtection="1">
      <alignment vertical="top" wrapText="1"/>
      <protection locked="0"/>
    </xf>
    <xf numFmtId="49" fontId="17" fillId="3" borderId="99" xfId="0" applyNumberFormat="1" applyFont="1" applyFill="1" applyBorder="1" applyProtection="1">
      <alignment vertical="top" wrapText="1"/>
      <protection locked="0"/>
    </xf>
    <xf numFmtId="0" fontId="13" fillId="0" borderId="97" xfId="0" applyNumberFormat="1" applyFont="1" applyBorder="1" applyAlignment="1" applyProtection="1">
      <alignment vertical="center" wrapText="1"/>
      <protection locked="0"/>
    </xf>
    <xf numFmtId="0" fontId="13" fillId="0" borderId="98" xfId="0" applyNumberFormat="1" applyFont="1" applyBorder="1" applyAlignment="1" applyProtection="1">
      <alignment vertical="center" wrapText="1"/>
      <protection locked="0"/>
    </xf>
    <xf numFmtId="0" fontId="13" fillId="0" borderId="99" xfId="0" applyNumberFormat="1" applyFont="1" applyBorder="1" applyAlignment="1" applyProtection="1">
      <alignment vertical="center" wrapText="1"/>
      <protection locked="0"/>
    </xf>
    <xf numFmtId="49" fontId="17" fillId="0" borderId="51" xfId="0" applyNumberFormat="1" applyFont="1" applyFill="1" applyBorder="1" applyAlignment="1" applyProtection="1">
      <alignment vertical="center"/>
      <protection locked="0"/>
    </xf>
    <xf numFmtId="49" fontId="17" fillId="0" borderId="52" xfId="0" applyNumberFormat="1" applyFont="1" applyFill="1" applyBorder="1" applyAlignment="1" applyProtection="1">
      <alignment vertical="center"/>
      <protection locked="0"/>
    </xf>
    <xf numFmtId="49" fontId="17" fillId="4" borderId="25" xfId="0" applyNumberFormat="1" applyFont="1" applyFill="1" applyBorder="1" applyAlignment="1" applyProtection="1">
      <alignment horizontal="left" vertical="center"/>
      <protection locked="0"/>
    </xf>
    <xf numFmtId="49" fontId="17" fillId="4" borderId="112" xfId="0" applyNumberFormat="1" applyFont="1" applyFill="1" applyBorder="1" applyAlignment="1" applyProtection="1">
      <alignment horizontal="left" vertical="center"/>
      <protection locked="0"/>
    </xf>
    <xf numFmtId="49" fontId="17" fillId="4" borderId="23" xfId="0" applyNumberFormat="1" applyFont="1" applyFill="1" applyBorder="1" applyAlignment="1" applyProtection="1">
      <alignment horizontal="left" vertical="center"/>
      <protection locked="0"/>
    </xf>
    <xf numFmtId="0" fontId="13" fillId="0" borderId="50" xfId="0" applyNumberFormat="1" applyFont="1" applyBorder="1" applyAlignment="1" applyProtection="1">
      <alignment vertical="center" wrapText="1"/>
      <protection locked="0"/>
    </xf>
    <xf numFmtId="0" fontId="13" fillId="0" borderId="93" xfId="0" applyNumberFormat="1" applyFont="1" applyBorder="1" applyAlignment="1" applyProtection="1">
      <alignment vertical="center" wrapText="1"/>
      <protection locked="0"/>
    </xf>
    <xf numFmtId="49" fontId="17" fillId="4" borderId="288" xfId="0" applyNumberFormat="1" applyFont="1" applyFill="1" applyBorder="1" applyAlignment="1" applyProtection="1">
      <alignment vertical="center"/>
      <protection locked="0"/>
    </xf>
    <xf numFmtId="49" fontId="17" fillId="4" borderId="286" xfId="0" applyNumberFormat="1" applyFont="1" applyFill="1" applyBorder="1" applyAlignment="1" applyProtection="1">
      <alignment vertical="center"/>
      <protection locked="0"/>
    </xf>
    <xf numFmtId="49" fontId="17" fillId="4" borderId="267" xfId="0" applyNumberFormat="1" applyFont="1" applyFill="1" applyBorder="1" applyAlignment="1" applyProtection="1">
      <alignment vertical="center"/>
      <protection locked="0"/>
    </xf>
    <xf numFmtId="0" fontId="21" fillId="8" borderId="0" xfId="0" applyFont="1" applyFill="1" applyBorder="1" applyAlignment="1" applyProtection="1">
      <alignment horizontal="center" vertical="center"/>
      <protection locked="0"/>
    </xf>
    <xf numFmtId="49" fontId="17" fillId="7" borderId="49" xfId="0" applyNumberFormat="1" applyFont="1" applyFill="1" applyBorder="1" applyAlignment="1" applyProtection="1">
      <alignment horizontal="left" vertical="center"/>
      <protection locked="0"/>
    </xf>
    <xf numFmtId="49" fontId="17" fillId="7" borderId="92" xfId="0" applyNumberFormat="1" applyFont="1" applyFill="1" applyBorder="1" applyAlignment="1" applyProtection="1">
      <alignment horizontal="left" vertical="center"/>
      <protection locked="0"/>
    </xf>
    <xf numFmtId="49" fontId="18" fillId="5" borderId="11" xfId="0" applyNumberFormat="1" applyFont="1" applyFill="1" applyBorder="1" applyAlignment="1" applyProtection="1">
      <alignment horizontal="center" vertical="center"/>
      <protection locked="0"/>
    </xf>
    <xf numFmtId="49" fontId="18" fillId="5" borderId="12" xfId="0" applyNumberFormat="1" applyFont="1" applyFill="1" applyBorder="1" applyAlignment="1" applyProtection="1">
      <alignment horizontal="center" vertical="center"/>
      <protection locked="0"/>
    </xf>
    <xf numFmtId="49" fontId="18" fillId="5" borderId="13" xfId="0" applyNumberFormat="1" applyFont="1" applyFill="1" applyBorder="1" applyAlignment="1" applyProtection="1">
      <alignment horizontal="center" vertical="center"/>
      <protection locked="0"/>
    </xf>
    <xf numFmtId="49" fontId="31" fillId="4" borderId="7" xfId="0" applyNumberFormat="1" applyFont="1" applyFill="1" applyBorder="1" applyAlignment="1" applyProtection="1">
      <alignment vertical="center"/>
      <protection locked="0"/>
    </xf>
    <xf numFmtId="49" fontId="31" fillId="4" borderId="10" xfId="0" applyNumberFormat="1" applyFont="1" applyFill="1" applyBorder="1" applyAlignment="1" applyProtection="1">
      <alignment vertical="center"/>
      <protection locked="0"/>
    </xf>
    <xf numFmtId="49" fontId="31" fillId="4" borderId="8" xfId="0" applyNumberFormat="1" applyFont="1" applyFill="1" applyBorder="1" applyAlignment="1" applyProtection="1">
      <alignment vertical="center"/>
      <protection locked="0"/>
    </xf>
    <xf numFmtId="49" fontId="31" fillId="4" borderId="97" xfId="0" applyNumberFormat="1" applyFont="1" applyFill="1" applyBorder="1" applyAlignment="1" applyProtection="1">
      <alignment vertical="center"/>
      <protection locked="0"/>
    </xf>
    <xf numFmtId="49" fontId="31" fillId="4" borderId="98" xfId="0" applyNumberFormat="1" applyFont="1" applyFill="1" applyBorder="1" applyAlignment="1" applyProtection="1">
      <alignment vertical="center"/>
      <protection locked="0"/>
    </xf>
    <xf numFmtId="49" fontId="31" fillId="4" borderId="99" xfId="0" applyNumberFormat="1" applyFont="1" applyFill="1" applyBorder="1" applyAlignment="1" applyProtection="1">
      <alignment vertical="center"/>
      <protection locked="0"/>
    </xf>
    <xf numFmtId="49" fontId="34" fillId="20" borderId="102" xfId="0" applyNumberFormat="1" applyFont="1" applyFill="1" applyBorder="1" applyAlignment="1" applyProtection="1">
      <alignment horizontal="center" vertical="center"/>
      <protection locked="0"/>
    </xf>
    <xf numFmtId="49" fontId="34" fillId="20" borderId="17" xfId="0" applyNumberFormat="1" applyFont="1" applyFill="1" applyBorder="1" applyAlignment="1" applyProtection="1">
      <alignment horizontal="center" vertical="center"/>
      <protection locked="0"/>
    </xf>
    <xf numFmtId="49" fontId="34" fillId="20" borderId="133" xfId="0" applyNumberFormat="1" applyFont="1" applyFill="1" applyBorder="1" applyAlignment="1" applyProtection="1">
      <alignment horizontal="center" vertical="center"/>
      <protection locked="0"/>
    </xf>
    <xf numFmtId="49" fontId="31" fillId="4" borderId="25" xfId="0" applyNumberFormat="1" applyFont="1" applyFill="1" applyBorder="1" applyAlignment="1" applyProtection="1">
      <alignment vertical="center"/>
      <protection locked="0"/>
    </xf>
    <xf numFmtId="49" fontId="31" fillId="4" borderId="112" xfId="0" applyNumberFormat="1" applyFont="1" applyFill="1" applyBorder="1" applyAlignment="1" applyProtection="1">
      <alignment vertical="center"/>
      <protection locked="0"/>
    </xf>
    <xf numFmtId="0" fontId="18" fillId="5" borderId="12" xfId="0" applyFont="1" applyFill="1" applyBorder="1" applyAlignment="1" applyProtection="1">
      <alignment horizontal="right" vertical="center"/>
      <protection locked="0"/>
    </xf>
    <xf numFmtId="49" fontId="29" fillId="5" borderId="11" xfId="0" applyNumberFormat="1" applyFont="1" applyFill="1" applyBorder="1" applyAlignment="1" applyProtection="1">
      <alignment horizontal="center" vertical="center"/>
      <protection locked="0"/>
    </xf>
    <xf numFmtId="49" fontId="29" fillId="5" borderId="12" xfId="0" applyNumberFormat="1" applyFont="1" applyFill="1" applyBorder="1" applyAlignment="1" applyProtection="1">
      <alignment horizontal="center" vertical="center"/>
      <protection locked="0"/>
    </xf>
    <xf numFmtId="49" fontId="29" fillId="5" borderId="13" xfId="0" applyNumberFormat="1" applyFont="1" applyFill="1" applyBorder="1" applyAlignment="1" applyProtection="1">
      <alignment horizontal="center" vertical="center"/>
      <protection locked="0"/>
    </xf>
    <xf numFmtId="49" fontId="31" fillId="4" borderId="23" xfId="0" applyNumberFormat="1" applyFont="1" applyFill="1" applyBorder="1" applyAlignment="1" applyProtection="1">
      <alignment vertical="center"/>
      <protection locked="0"/>
    </xf>
    <xf numFmtId="49" fontId="17" fillId="7" borderId="115" xfId="0" applyNumberFormat="1" applyFont="1" applyFill="1" applyBorder="1" applyAlignment="1" applyProtection="1">
      <alignment horizontal="left" vertical="center"/>
      <protection locked="0"/>
    </xf>
    <xf numFmtId="49" fontId="17" fillId="7" borderId="116" xfId="0" applyNumberFormat="1" applyFont="1" applyFill="1" applyBorder="1" applyAlignment="1" applyProtection="1">
      <alignment horizontal="left" vertical="center"/>
      <protection locked="0"/>
    </xf>
    <xf numFmtId="49" fontId="17" fillId="7" borderId="55" xfId="0" applyNumberFormat="1" applyFont="1" applyFill="1" applyBorder="1" applyAlignment="1" applyProtection="1">
      <alignment horizontal="left" vertical="center"/>
      <protection locked="0"/>
    </xf>
    <xf numFmtId="49" fontId="17" fillId="7" borderId="119" xfId="0" applyNumberFormat="1" applyFont="1" applyFill="1" applyBorder="1" applyAlignment="1" applyProtection="1">
      <alignment horizontal="left" vertical="center"/>
      <protection locked="0"/>
    </xf>
    <xf numFmtId="164" fontId="18" fillId="5" borderId="12" xfId="0" applyNumberFormat="1" applyFont="1" applyFill="1" applyBorder="1" applyAlignment="1" applyProtection="1">
      <alignment horizontal="right" vertical="center"/>
    </xf>
    <xf numFmtId="164" fontId="18" fillId="5" borderId="13" xfId="0" applyNumberFormat="1" applyFont="1" applyFill="1" applyBorder="1" applyAlignment="1" applyProtection="1">
      <alignment horizontal="right" vertical="center"/>
    </xf>
    <xf numFmtId="49" fontId="21" fillId="7" borderId="55" xfId="0" applyNumberFormat="1" applyFont="1" applyFill="1" applyBorder="1" applyAlignment="1" applyProtection="1">
      <alignment horizontal="left" vertical="center"/>
      <protection locked="0"/>
    </xf>
    <xf numFmtId="49" fontId="21" fillId="7" borderId="119" xfId="0" applyNumberFormat="1" applyFont="1" applyFill="1" applyBorder="1" applyAlignment="1" applyProtection="1">
      <alignment horizontal="left" vertical="center"/>
      <protection locked="0"/>
    </xf>
    <xf numFmtId="49" fontId="21" fillId="7" borderId="50" xfId="0" applyNumberFormat="1" applyFont="1" applyFill="1" applyBorder="1" applyAlignment="1" applyProtection="1">
      <alignment horizontal="left" vertical="center"/>
      <protection locked="0"/>
    </xf>
    <xf numFmtId="49" fontId="21" fillId="7" borderId="93" xfId="0" applyNumberFormat="1" applyFont="1" applyFill="1" applyBorder="1" applyAlignment="1" applyProtection="1">
      <alignment horizontal="left" vertical="center"/>
      <protection locked="0"/>
    </xf>
    <xf numFmtId="49" fontId="29" fillId="5" borderId="12" xfId="0" applyNumberFormat="1" applyFont="1" applyFill="1" applyBorder="1" applyAlignment="1" applyProtection="1">
      <alignment horizontal="right" vertical="center"/>
      <protection locked="0"/>
    </xf>
    <xf numFmtId="49" fontId="31" fillId="4" borderId="145" xfId="0" applyNumberFormat="1" applyFont="1" applyFill="1" applyBorder="1" applyAlignment="1" applyProtection="1">
      <alignment vertical="center"/>
      <protection locked="0"/>
    </xf>
    <xf numFmtId="49" fontId="31" fillId="4" borderId="140" xfId="0" applyNumberFormat="1" applyFont="1" applyFill="1" applyBorder="1" applyAlignment="1" applyProtection="1">
      <alignment vertical="center"/>
      <protection locked="0"/>
    </xf>
    <xf numFmtId="49" fontId="31" fillId="4" borderId="29" xfId="0" applyNumberFormat="1" applyFont="1" applyFill="1" applyBorder="1" applyAlignment="1" applyProtection="1">
      <alignment vertical="center"/>
      <protection locked="0"/>
    </xf>
    <xf numFmtId="49" fontId="31" fillId="4" borderId="146" xfId="0" applyNumberFormat="1" applyFont="1" applyFill="1" applyBorder="1" applyAlignment="1" applyProtection="1">
      <alignment vertical="center"/>
      <protection locked="0"/>
    </xf>
    <xf numFmtId="49" fontId="34" fillId="20" borderId="11" xfId="0" applyNumberFormat="1" applyFont="1" applyFill="1" applyBorder="1" applyAlignment="1" applyProtection="1">
      <alignment horizontal="center" vertical="center"/>
      <protection locked="0"/>
    </xf>
    <xf numFmtId="49" fontId="34" fillId="20" borderId="12" xfId="0" applyNumberFormat="1" applyFont="1" applyFill="1" applyBorder="1" applyAlignment="1" applyProtection="1">
      <alignment horizontal="center" vertical="center"/>
      <protection locked="0"/>
    </xf>
    <xf numFmtId="49" fontId="34" fillId="20" borderId="16" xfId="0" applyNumberFormat="1" applyFont="1" applyFill="1" applyBorder="1" applyAlignment="1" applyProtection="1">
      <alignment horizontal="center" vertical="center"/>
      <protection locked="0"/>
    </xf>
    <xf numFmtId="49" fontId="35" fillId="4" borderId="136" xfId="0" applyNumberFormat="1" applyFont="1" applyFill="1" applyBorder="1" applyAlignment="1" applyProtection="1">
      <alignment horizontal="left" vertical="center"/>
      <protection locked="0"/>
    </xf>
    <xf numFmtId="49" fontId="35" fillId="4" borderId="137" xfId="0" applyNumberFormat="1" applyFont="1" applyFill="1" applyBorder="1" applyAlignment="1" applyProtection="1">
      <alignment horizontal="left" vertical="center"/>
      <protection locked="0"/>
    </xf>
    <xf numFmtId="49" fontId="35" fillId="4" borderId="138" xfId="0" applyNumberFormat="1" applyFont="1" applyFill="1" applyBorder="1" applyAlignment="1" applyProtection="1">
      <alignment horizontal="left" vertical="center"/>
      <protection locked="0"/>
    </xf>
    <xf numFmtId="0" fontId="31" fillId="4" borderId="7" xfId="0" applyFont="1" applyFill="1" applyBorder="1" applyAlignment="1" applyProtection="1">
      <alignment vertical="center"/>
      <protection locked="0"/>
    </xf>
    <xf numFmtId="0" fontId="31" fillId="4" borderId="10" xfId="0" applyFont="1" applyFill="1" applyBorder="1" applyAlignment="1" applyProtection="1">
      <alignment vertical="center"/>
      <protection locked="0"/>
    </xf>
    <xf numFmtId="0" fontId="31" fillId="4" borderId="140" xfId="0" applyFont="1" applyFill="1" applyBorder="1" applyAlignment="1" applyProtection="1">
      <alignment vertical="center"/>
      <protection locked="0"/>
    </xf>
    <xf numFmtId="0" fontId="31" fillId="4" borderId="29" xfId="0" applyFont="1" applyFill="1" applyBorder="1" applyAlignment="1" applyProtection="1">
      <alignment vertical="center"/>
      <protection locked="0"/>
    </xf>
    <xf numFmtId="49" fontId="31" fillId="4" borderId="144" xfId="0" applyNumberFormat="1" applyFont="1" applyFill="1" applyBorder="1" applyAlignment="1" applyProtection="1">
      <alignment vertical="center"/>
      <protection locked="0"/>
    </xf>
    <xf numFmtId="49" fontId="17" fillId="4" borderId="121" xfId="0" applyNumberFormat="1" applyFont="1" applyFill="1" applyBorder="1" applyAlignment="1" applyProtection="1">
      <alignment horizontal="left" vertical="center"/>
      <protection locked="0"/>
    </xf>
    <xf numFmtId="49" fontId="17" fillId="4" borderId="117" xfId="0" applyNumberFormat="1" applyFont="1" applyFill="1" applyBorder="1" applyAlignment="1" applyProtection="1">
      <alignment horizontal="left" vertical="center"/>
      <protection locked="0"/>
    </xf>
    <xf numFmtId="49" fontId="17" fillId="4" borderId="120" xfId="0" applyNumberFormat="1" applyFont="1" applyFill="1" applyBorder="1" applyAlignment="1" applyProtection="1">
      <alignment horizontal="left" vertical="center"/>
      <protection locked="0"/>
    </xf>
    <xf numFmtId="49" fontId="31" fillId="4" borderId="7" xfId="3" applyNumberFormat="1" applyFont="1" applyFill="1" applyBorder="1" applyAlignment="1" applyProtection="1">
      <alignment vertical="center"/>
      <protection locked="0"/>
    </xf>
    <xf numFmtId="49" fontId="31" fillId="4" borderId="10" xfId="3" applyNumberFormat="1" applyFont="1" applyFill="1" applyBorder="1" applyAlignment="1" applyProtection="1">
      <alignment vertical="center"/>
      <protection locked="0"/>
    </xf>
    <xf numFmtId="49" fontId="31" fillId="4" borderId="145" xfId="3" applyNumberFormat="1" applyFont="1" applyFill="1" applyBorder="1" applyAlignment="1" applyProtection="1">
      <alignment vertical="center"/>
      <protection locked="0"/>
    </xf>
    <xf numFmtId="49" fontId="31" fillId="4" borderId="140" xfId="3" applyNumberFormat="1" applyFont="1" applyFill="1" applyBorder="1" applyAlignment="1" applyProtection="1">
      <alignment vertical="center"/>
      <protection locked="0"/>
    </xf>
    <xf numFmtId="49" fontId="31" fillId="4" borderId="29" xfId="3" applyNumberFormat="1" applyFont="1" applyFill="1" applyBorder="1" applyAlignment="1" applyProtection="1">
      <alignment vertical="center"/>
      <protection locked="0"/>
    </xf>
    <xf numFmtId="49" fontId="31" fillId="4" borderId="146" xfId="3" applyNumberFormat="1" applyFont="1" applyFill="1" applyBorder="1" applyAlignment="1" applyProtection="1">
      <alignment vertical="center"/>
      <protection locked="0"/>
    </xf>
    <xf numFmtId="49" fontId="34" fillId="20" borderId="11" xfId="3" applyNumberFormat="1" applyFont="1" applyFill="1" applyBorder="1" applyAlignment="1" applyProtection="1">
      <alignment horizontal="center" vertical="center"/>
      <protection locked="0"/>
    </xf>
    <xf numFmtId="49" fontId="34" fillId="20" borderId="12" xfId="3" applyNumberFormat="1" applyFont="1" applyFill="1" applyBorder="1" applyAlignment="1" applyProtection="1">
      <alignment horizontal="center" vertical="center"/>
      <protection locked="0"/>
    </xf>
    <xf numFmtId="49" fontId="34" fillId="20" borderId="16" xfId="3" applyNumberFormat="1" applyFont="1" applyFill="1" applyBorder="1" applyAlignment="1" applyProtection="1">
      <alignment horizontal="center" vertical="center"/>
      <protection locked="0"/>
    </xf>
    <xf numFmtId="49" fontId="35" fillId="4" borderId="136" xfId="3" applyNumberFormat="1" applyFont="1" applyFill="1" applyBorder="1" applyAlignment="1" applyProtection="1">
      <alignment horizontal="left" vertical="center"/>
      <protection locked="0"/>
    </xf>
    <xf numFmtId="49" fontId="35" fillId="4" borderId="137" xfId="3" applyNumberFormat="1" applyFont="1" applyFill="1" applyBorder="1" applyAlignment="1" applyProtection="1">
      <alignment horizontal="left" vertical="center"/>
      <protection locked="0"/>
    </xf>
    <xf numFmtId="49" fontId="35" fillId="4" borderId="138" xfId="3" applyNumberFormat="1" applyFont="1" applyFill="1" applyBorder="1" applyAlignment="1" applyProtection="1">
      <alignment horizontal="left" vertical="center"/>
      <protection locked="0"/>
    </xf>
    <xf numFmtId="49" fontId="29" fillId="5" borderId="12" xfId="3" applyNumberFormat="1" applyFont="1" applyFill="1" applyBorder="1" applyAlignment="1" applyProtection="1">
      <alignment horizontal="right" vertical="center"/>
      <protection locked="0"/>
    </xf>
    <xf numFmtId="0" fontId="31" fillId="4" borderId="140" xfId="3" applyFont="1" applyFill="1" applyBorder="1" applyAlignment="1" applyProtection="1">
      <alignment vertical="center"/>
      <protection locked="0"/>
    </xf>
    <xf numFmtId="0" fontId="31" fillId="4" borderId="29" xfId="3" applyFont="1" applyFill="1" applyBorder="1" applyAlignment="1" applyProtection="1">
      <alignment vertical="center"/>
      <protection locked="0"/>
    </xf>
    <xf numFmtId="49" fontId="34" fillId="20" borderId="102" xfId="3" applyNumberFormat="1" applyFont="1" applyFill="1" applyBorder="1" applyAlignment="1" applyProtection="1">
      <alignment horizontal="center" vertical="center"/>
      <protection locked="0"/>
    </xf>
    <xf numFmtId="49" fontId="34" fillId="20" borderId="17" xfId="3" applyNumberFormat="1" applyFont="1" applyFill="1" applyBorder="1" applyAlignment="1" applyProtection="1">
      <alignment horizontal="center" vertical="center"/>
      <protection locked="0"/>
    </xf>
    <xf numFmtId="49" fontId="34" fillId="20" borderId="133" xfId="3" applyNumberFormat="1" applyFont="1" applyFill="1" applyBorder="1" applyAlignment="1" applyProtection="1">
      <alignment horizontal="center" vertical="center"/>
      <protection locked="0"/>
    </xf>
    <xf numFmtId="49" fontId="31" fillId="4" borderId="25" xfId="3" applyNumberFormat="1" applyFont="1" applyFill="1" applyBorder="1" applyAlignment="1" applyProtection="1">
      <alignment vertical="center"/>
      <protection locked="0"/>
    </xf>
    <xf numFmtId="49" fontId="31" fillId="4" borderId="112" xfId="3" applyNumberFormat="1" applyFont="1" applyFill="1" applyBorder="1" applyAlignment="1" applyProtection="1">
      <alignment vertical="center"/>
      <protection locked="0"/>
    </xf>
    <xf numFmtId="49" fontId="31" fillId="4" borderId="144" xfId="3" applyNumberFormat="1" applyFont="1" applyFill="1" applyBorder="1" applyAlignment="1" applyProtection="1">
      <alignment vertical="center"/>
      <protection locked="0"/>
    </xf>
    <xf numFmtId="0" fontId="31" fillId="4" borderId="7" xfId="3" applyFont="1" applyFill="1" applyBorder="1" applyAlignment="1" applyProtection="1">
      <alignment vertical="center"/>
      <protection locked="0"/>
    </xf>
    <xf numFmtId="0" fontId="31" fillId="4" borderId="10" xfId="3" applyFont="1" applyFill="1" applyBorder="1" applyAlignment="1" applyProtection="1">
      <alignment vertical="center"/>
      <protection locked="0"/>
    </xf>
    <xf numFmtId="49" fontId="29" fillId="5" borderId="11" xfId="3" applyNumberFormat="1" applyFont="1" applyFill="1" applyBorder="1" applyAlignment="1" applyProtection="1">
      <alignment horizontal="center" vertical="center"/>
      <protection locked="0"/>
    </xf>
    <xf numFmtId="49" fontId="29" fillId="5" borderId="12" xfId="3" applyNumberFormat="1" applyFont="1" applyFill="1" applyBorder="1" applyAlignment="1" applyProtection="1">
      <alignment horizontal="center" vertical="center"/>
      <protection locked="0"/>
    </xf>
    <xf numFmtId="49" fontId="29" fillId="5" borderId="13" xfId="3" applyNumberFormat="1" applyFont="1" applyFill="1" applyBorder="1" applyAlignment="1" applyProtection="1">
      <alignment horizontal="center" vertical="center"/>
      <protection locked="0"/>
    </xf>
    <xf numFmtId="49" fontId="31" fillId="4" borderId="23" xfId="3" applyNumberFormat="1" applyFont="1" applyFill="1" applyBorder="1" applyAlignment="1" applyProtection="1">
      <alignment vertical="center"/>
      <protection locked="0"/>
    </xf>
    <xf numFmtId="49" fontId="31" fillId="4" borderId="8" xfId="3" applyNumberFormat="1" applyFont="1" applyFill="1" applyBorder="1" applyAlignment="1" applyProtection="1">
      <alignment vertical="center"/>
      <protection locked="0"/>
    </xf>
    <xf numFmtId="49" fontId="31" fillId="4" borderId="97" xfId="3" applyNumberFormat="1" applyFont="1" applyFill="1" applyBorder="1" applyAlignment="1" applyProtection="1">
      <alignment vertical="center"/>
      <protection locked="0"/>
    </xf>
    <xf numFmtId="49" fontId="31" fillId="4" borderId="98" xfId="3" applyNumberFormat="1" applyFont="1" applyFill="1" applyBorder="1" applyAlignment="1" applyProtection="1">
      <alignment vertical="center"/>
      <protection locked="0"/>
    </xf>
    <xf numFmtId="49" fontId="31" fillId="4" borderId="99" xfId="3" applyNumberFormat="1" applyFont="1" applyFill="1" applyBorder="1" applyAlignment="1" applyProtection="1">
      <alignment vertical="center"/>
      <protection locked="0"/>
    </xf>
    <xf numFmtId="49" fontId="17" fillId="7" borderId="49" xfId="3" applyNumberFormat="1" applyFont="1" applyFill="1" applyBorder="1" applyAlignment="1" applyProtection="1">
      <alignment horizontal="left" vertical="center"/>
      <protection locked="0"/>
    </xf>
    <xf numFmtId="49" fontId="17" fillId="7" borderId="92" xfId="3" applyNumberFormat="1" applyFont="1" applyFill="1" applyBorder="1" applyAlignment="1" applyProtection="1">
      <alignment horizontal="left" vertical="center"/>
      <protection locked="0"/>
    </xf>
    <xf numFmtId="49" fontId="17" fillId="7" borderId="115" xfId="3" applyNumberFormat="1" applyFont="1" applyFill="1" applyBorder="1" applyAlignment="1" applyProtection="1">
      <alignment horizontal="left" vertical="center"/>
      <protection locked="0"/>
    </xf>
    <xf numFmtId="49" fontId="17" fillId="7" borderId="116" xfId="3" applyNumberFormat="1" applyFont="1" applyFill="1" applyBorder="1" applyAlignment="1" applyProtection="1">
      <alignment horizontal="left" vertical="center"/>
      <protection locked="0"/>
    </xf>
    <xf numFmtId="49" fontId="21" fillId="7" borderId="55" xfId="3" applyNumberFormat="1" applyFont="1" applyFill="1" applyBorder="1" applyAlignment="1" applyProtection="1">
      <alignment horizontal="left" vertical="center"/>
      <protection locked="0"/>
    </xf>
    <xf numFmtId="49" fontId="21" fillId="7" borderId="148" xfId="3" applyNumberFormat="1" applyFont="1" applyFill="1" applyBorder="1" applyAlignment="1" applyProtection="1">
      <alignment horizontal="left" vertical="center"/>
      <protection locked="0"/>
    </xf>
    <xf numFmtId="49" fontId="21" fillId="7" borderId="50" xfId="3" applyNumberFormat="1" applyFont="1" applyFill="1" applyBorder="1" applyAlignment="1" applyProtection="1">
      <alignment horizontal="left" vertical="center"/>
      <protection locked="0"/>
    </xf>
    <xf numFmtId="49" fontId="21" fillId="7" borderId="93" xfId="3" applyNumberFormat="1" applyFont="1" applyFill="1" applyBorder="1" applyAlignment="1" applyProtection="1">
      <alignment horizontal="left" vertical="center"/>
      <protection locked="0"/>
    </xf>
    <xf numFmtId="164" fontId="18" fillId="5" borderId="12" xfId="3" applyNumberFormat="1" applyFont="1" applyFill="1" applyBorder="1" applyAlignment="1" applyProtection="1">
      <alignment horizontal="right" vertical="center"/>
    </xf>
    <xf numFmtId="164" fontId="18" fillId="5" borderId="13" xfId="3" applyNumberFormat="1" applyFont="1" applyFill="1" applyBorder="1" applyAlignment="1" applyProtection="1">
      <alignment horizontal="right" vertical="center"/>
    </xf>
    <xf numFmtId="49" fontId="17" fillId="4" borderId="7" xfId="3" applyNumberFormat="1" applyFont="1" applyFill="1" applyBorder="1" applyAlignment="1" applyProtection="1">
      <alignment horizontal="left" vertical="center"/>
      <protection locked="0"/>
    </xf>
    <xf numFmtId="49" fontId="17" fillId="4" borderId="10" xfId="3" applyNumberFormat="1" applyFont="1" applyFill="1" applyBorder="1" applyAlignment="1" applyProtection="1">
      <alignment horizontal="left" vertical="center"/>
      <protection locked="0"/>
    </xf>
    <xf numFmtId="49" fontId="17" fillId="4" borderId="8" xfId="3" applyNumberFormat="1" applyFont="1" applyFill="1" applyBorder="1" applyAlignment="1" applyProtection="1">
      <alignment horizontal="left" vertical="center"/>
      <protection locked="0"/>
    </xf>
    <xf numFmtId="0" fontId="13" fillId="0" borderId="97" xfId="3" applyNumberFormat="1" applyFont="1" applyBorder="1" applyAlignment="1" applyProtection="1">
      <alignment vertical="center" wrapText="1"/>
      <protection locked="0"/>
    </xf>
    <xf numFmtId="0" fontId="13" fillId="0" borderId="98" xfId="3" applyNumberFormat="1" applyFont="1" applyBorder="1" applyAlignment="1" applyProtection="1">
      <alignment vertical="center" wrapText="1"/>
      <protection locked="0"/>
    </xf>
    <xf numFmtId="0" fontId="13" fillId="0" borderId="99" xfId="3" applyNumberFormat="1" applyFont="1" applyBorder="1" applyAlignment="1" applyProtection="1">
      <alignment vertical="center" wrapText="1"/>
      <protection locked="0"/>
    </xf>
    <xf numFmtId="49" fontId="18" fillId="5" borderId="11" xfId="3" applyNumberFormat="1" applyFont="1" applyFill="1" applyBorder="1" applyAlignment="1" applyProtection="1">
      <alignment horizontal="center" vertical="center"/>
      <protection locked="0"/>
    </xf>
    <xf numFmtId="49" fontId="18" fillId="5" borderId="12" xfId="3" applyNumberFormat="1" applyFont="1" applyFill="1" applyBorder="1" applyAlignment="1" applyProtection="1">
      <alignment horizontal="center" vertical="center"/>
      <protection locked="0"/>
    </xf>
    <xf numFmtId="49" fontId="18" fillId="5" borderId="13" xfId="3" applyNumberFormat="1" applyFont="1" applyFill="1" applyBorder="1" applyAlignment="1" applyProtection="1">
      <alignment horizontal="center" vertical="center"/>
      <protection locked="0"/>
    </xf>
    <xf numFmtId="49" fontId="17" fillId="7" borderId="55" xfId="3" applyNumberFormat="1" applyFont="1" applyFill="1" applyBorder="1" applyAlignment="1" applyProtection="1">
      <alignment horizontal="left" vertical="center"/>
      <protection locked="0"/>
    </xf>
    <xf numFmtId="49" fontId="17" fillId="7" borderId="148" xfId="3" applyNumberFormat="1" applyFont="1" applyFill="1" applyBorder="1" applyAlignment="1" applyProtection="1">
      <alignment horizontal="left" vertical="center"/>
      <protection locked="0"/>
    </xf>
    <xf numFmtId="44" fontId="21" fillId="7" borderId="15" xfId="4" applyFont="1" applyFill="1" applyBorder="1" applyAlignment="1" applyProtection="1">
      <alignment horizontal="center" vertical="center"/>
      <protection locked="0"/>
    </xf>
    <xf numFmtId="44" fontId="21" fillId="7" borderId="12" xfId="4" applyFont="1" applyFill="1" applyBorder="1" applyAlignment="1" applyProtection="1">
      <alignment horizontal="center" vertical="center"/>
      <protection locked="0"/>
    </xf>
    <xf numFmtId="44" fontId="21" fillId="7" borderId="91" xfId="4" applyFont="1" applyFill="1" applyBorder="1" applyAlignment="1" applyProtection="1">
      <alignment horizontal="center" vertical="center"/>
      <protection locked="0"/>
    </xf>
    <xf numFmtId="49" fontId="17" fillId="4" borderId="121" xfId="3" applyNumberFormat="1" applyFont="1" applyFill="1" applyBorder="1" applyAlignment="1" applyProtection="1">
      <alignment horizontal="left" vertical="center"/>
      <protection locked="0"/>
    </xf>
    <xf numFmtId="49" fontId="17" fillId="4" borderId="117" xfId="3" applyNumberFormat="1" applyFont="1" applyFill="1" applyBorder="1" applyAlignment="1" applyProtection="1">
      <alignment horizontal="left" vertical="center"/>
      <protection locked="0"/>
    </xf>
    <xf numFmtId="49" fontId="17" fillId="4" borderId="120" xfId="3" applyNumberFormat="1" applyFont="1" applyFill="1" applyBorder="1" applyAlignment="1" applyProtection="1">
      <alignment horizontal="left" vertical="center"/>
      <protection locked="0"/>
    </xf>
    <xf numFmtId="49" fontId="17" fillId="3" borderId="7" xfId="3" applyNumberFormat="1" applyFont="1" applyFill="1" applyBorder="1" applyAlignment="1" applyProtection="1">
      <alignment horizontal="left" vertical="center"/>
      <protection locked="0"/>
    </xf>
    <xf numFmtId="49" fontId="17" fillId="3" borderId="10" xfId="3" applyNumberFormat="1" applyFont="1" applyFill="1" applyBorder="1" applyAlignment="1" applyProtection="1">
      <alignment horizontal="left" vertical="center"/>
      <protection locked="0"/>
    </xf>
    <xf numFmtId="49" fontId="17" fillId="3" borderId="8" xfId="3" applyNumberFormat="1" applyFont="1" applyFill="1" applyBorder="1" applyAlignment="1" applyProtection="1">
      <alignment horizontal="left" vertical="center"/>
      <protection locked="0"/>
    </xf>
    <xf numFmtId="49" fontId="17" fillId="4" borderId="80" xfId="3" applyNumberFormat="1" applyFont="1" applyFill="1" applyBorder="1" applyAlignment="1" applyProtection="1">
      <alignment vertical="center"/>
      <protection locked="0"/>
    </xf>
    <xf numFmtId="49" fontId="17" fillId="4" borderId="81" xfId="3" applyNumberFormat="1" applyFont="1" applyFill="1" applyBorder="1" applyAlignment="1" applyProtection="1">
      <alignment vertical="center"/>
      <protection locked="0"/>
    </xf>
    <xf numFmtId="49" fontId="17" fillId="4" borderId="78" xfId="3" applyNumberFormat="1" applyFont="1" applyFill="1" applyBorder="1" applyAlignment="1" applyProtection="1">
      <alignment vertical="center"/>
      <protection locked="0"/>
    </xf>
    <xf numFmtId="49" fontId="17" fillId="4" borderId="79" xfId="3" applyNumberFormat="1" applyFont="1" applyFill="1" applyBorder="1" applyAlignment="1" applyProtection="1">
      <alignment vertical="center"/>
      <protection locked="0"/>
    </xf>
    <xf numFmtId="0" fontId="21" fillId="8" borderId="0" xfId="3" applyFont="1" applyFill="1" applyBorder="1" applyAlignment="1" applyProtection="1">
      <alignment horizontal="center" vertical="center"/>
      <protection locked="0"/>
    </xf>
    <xf numFmtId="49" fontId="21" fillId="7" borderId="11" xfId="3" applyNumberFormat="1" applyFont="1" applyFill="1" applyBorder="1" applyAlignment="1" applyProtection="1">
      <alignment horizontal="right" vertical="center"/>
      <protection locked="0"/>
    </xf>
    <xf numFmtId="49" fontId="21" fillId="7" borderId="12" xfId="3" applyNumberFormat="1" applyFont="1" applyFill="1" applyBorder="1" applyAlignment="1" applyProtection="1">
      <alignment horizontal="right" vertical="center"/>
      <protection locked="0"/>
    </xf>
    <xf numFmtId="49" fontId="17" fillId="4" borderId="103" xfId="3" applyNumberFormat="1" applyFont="1" applyFill="1" applyBorder="1" applyAlignment="1" applyProtection="1">
      <alignment vertical="center"/>
      <protection locked="0"/>
    </xf>
    <xf numFmtId="49" fontId="17" fillId="4" borderId="104" xfId="3" applyNumberFormat="1" applyFont="1" applyFill="1" applyBorder="1" applyAlignment="1" applyProtection="1">
      <alignment vertical="center"/>
      <protection locked="0"/>
    </xf>
    <xf numFmtId="0" fontId="18" fillId="20" borderId="11" xfId="3" applyFont="1" applyFill="1" applyBorder="1" applyAlignment="1">
      <alignment horizontal="center" vertical="top" wrapText="1"/>
    </xf>
    <xf numFmtId="0" fontId="18" fillId="20" borderId="12" xfId="3" applyFont="1" applyFill="1" applyBorder="1" applyAlignment="1">
      <alignment horizontal="center" vertical="top" wrapText="1"/>
    </xf>
    <xf numFmtId="0" fontId="18" fillId="20" borderId="12" xfId="3" applyFont="1" applyFill="1" applyBorder="1" applyAlignment="1">
      <alignment horizontal="right" vertical="top" wrapText="1"/>
    </xf>
    <xf numFmtId="49" fontId="17" fillId="7" borderId="82" xfId="3" applyNumberFormat="1" applyFont="1" applyFill="1" applyBorder="1" applyAlignment="1" applyProtection="1">
      <alignment horizontal="center" vertical="center"/>
      <protection locked="0"/>
    </xf>
    <xf numFmtId="49" fontId="17" fillId="7" borderId="83" xfId="3" applyNumberFormat="1" applyFont="1" applyFill="1" applyBorder="1" applyAlignment="1" applyProtection="1">
      <alignment horizontal="center" vertical="center"/>
      <protection locked="0"/>
    </xf>
    <xf numFmtId="0" fontId="21" fillId="8" borderId="22" xfId="3" applyFont="1" applyFill="1" applyBorder="1" applyAlignment="1" applyProtection="1">
      <alignment horizontal="center" vertical="center"/>
      <protection locked="0"/>
    </xf>
    <xf numFmtId="0" fontId="13" fillId="0" borderId="140" xfId="3" applyNumberFormat="1" applyFont="1" applyBorder="1" applyAlignment="1" applyProtection="1">
      <alignment vertical="center" wrapText="1"/>
      <protection locked="0"/>
    </xf>
    <xf numFmtId="0" fontId="13" fillId="0" borderId="29" xfId="3" applyNumberFormat="1" applyFont="1" applyBorder="1" applyAlignment="1" applyProtection="1">
      <alignment vertical="center" wrapText="1"/>
      <protection locked="0"/>
    </xf>
    <xf numFmtId="0" fontId="13" fillId="0" borderId="275" xfId="3" applyNumberFormat="1" applyFont="1" applyBorder="1" applyAlignment="1" applyProtection="1">
      <alignment vertical="center" wrapText="1"/>
      <protection locked="0"/>
    </xf>
    <xf numFmtId="49" fontId="17" fillId="3" borderId="97" xfId="3" applyNumberFormat="1" applyFont="1" applyFill="1" applyBorder="1" applyProtection="1">
      <alignment vertical="top" wrapText="1"/>
      <protection locked="0"/>
    </xf>
    <xf numFmtId="49" fontId="17" fillId="3" borderId="98" xfId="3" applyNumberFormat="1" applyFont="1" applyFill="1" applyBorder="1" applyProtection="1">
      <alignment vertical="top" wrapText="1"/>
      <protection locked="0"/>
    </xf>
    <xf numFmtId="49" fontId="17" fillId="3" borderId="99" xfId="3" applyNumberFormat="1" applyFont="1" applyFill="1" applyBorder="1" applyProtection="1">
      <alignment vertical="top" wrapText="1"/>
      <protection locked="0"/>
    </xf>
    <xf numFmtId="49" fontId="17" fillId="3" borderId="7" xfId="3" applyNumberFormat="1" applyFont="1" applyFill="1" applyBorder="1" applyProtection="1">
      <alignment vertical="top" wrapText="1"/>
      <protection locked="0"/>
    </xf>
    <xf numFmtId="49" fontId="17" fillId="3" borderId="10" xfId="3" applyNumberFormat="1" applyFont="1" applyFill="1" applyBorder="1" applyProtection="1">
      <alignment vertical="top" wrapText="1"/>
      <protection locked="0"/>
    </xf>
    <xf numFmtId="49" fontId="17" fillId="3" borderId="8" xfId="3" applyNumberFormat="1" applyFont="1" applyFill="1" applyBorder="1" applyProtection="1">
      <alignment vertical="top" wrapText="1"/>
      <protection locked="0"/>
    </xf>
    <xf numFmtId="49" fontId="21" fillId="7" borderId="102" xfId="3" applyNumberFormat="1" applyFont="1" applyFill="1" applyBorder="1" applyAlignment="1" applyProtection="1">
      <alignment horizontal="center" vertical="center"/>
      <protection locked="0"/>
    </xf>
    <xf numFmtId="49" fontId="21" fillId="7" borderId="17" xfId="3" applyNumberFormat="1" applyFont="1" applyFill="1" applyBorder="1" applyAlignment="1" applyProtection="1">
      <alignment horizontal="center" vertical="center"/>
      <protection locked="0"/>
    </xf>
    <xf numFmtId="49" fontId="21" fillId="7" borderId="21" xfId="3" applyNumberFormat="1" applyFont="1" applyFill="1" applyBorder="1" applyAlignment="1" applyProtection="1">
      <alignment horizontal="center" vertical="center"/>
      <protection locked="0"/>
    </xf>
    <xf numFmtId="49" fontId="17" fillId="4" borderId="25" xfId="3" applyNumberFormat="1" applyFont="1" applyFill="1" applyBorder="1" applyAlignment="1" applyProtection="1">
      <alignment horizontal="left" vertical="center"/>
      <protection locked="0"/>
    </xf>
    <xf numFmtId="49" fontId="17" fillId="4" borderId="112" xfId="3" applyNumberFormat="1" applyFont="1" applyFill="1" applyBorder="1" applyAlignment="1" applyProtection="1">
      <alignment horizontal="left" vertical="center"/>
      <protection locked="0"/>
    </xf>
    <xf numFmtId="49" fontId="17" fillId="4" borderId="23" xfId="3" applyNumberFormat="1" applyFont="1" applyFill="1" applyBorder="1" applyAlignment="1" applyProtection="1">
      <alignment horizontal="left" vertical="center"/>
      <protection locked="0"/>
    </xf>
    <xf numFmtId="49" fontId="17" fillId="22" borderId="103" xfId="3" applyNumberFormat="1" applyFont="1" applyFill="1" applyBorder="1" applyAlignment="1" applyProtection="1">
      <alignment vertical="center"/>
      <protection locked="0"/>
    </xf>
    <xf numFmtId="49" fontId="17" fillId="22" borderId="104" xfId="3" applyNumberFormat="1" applyFont="1" applyFill="1" applyBorder="1" applyAlignment="1" applyProtection="1">
      <alignment vertical="center"/>
      <protection locked="0"/>
    </xf>
    <xf numFmtId="49" fontId="17" fillId="22" borderId="80" xfId="3" applyNumberFormat="1" applyFont="1" applyFill="1" applyBorder="1" applyAlignment="1" applyProtection="1">
      <alignment vertical="center"/>
      <protection locked="0"/>
    </xf>
    <xf numFmtId="49" fontId="17" fillId="22" borderId="81" xfId="3" applyNumberFormat="1" applyFont="1" applyFill="1" applyBorder="1" applyAlignment="1" applyProtection="1">
      <alignment vertical="center"/>
      <protection locked="0"/>
    </xf>
    <xf numFmtId="0" fontId="13" fillId="0" borderId="50" xfId="3" applyNumberFormat="1" applyFont="1" applyBorder="1" applyAlignment="1" applyProtection="1">
      <alignment vertical="center" wrapText="1"/>
      <protection locked="0"/>
    </xf>
    <xf numFmtId="0" fontId="13" fillId="0" borderId="93" xfId="3" applyNumberFormat="1" applyFont="1" applyBorder="1" applyAlignment="1" applyProtection="1">
      <alignment vertical="center" wrapText="1"/>
      <protection locked="0"/>
    </xf>
    <xf numFmtId="0" fontId="13" fillId="0" borderId="18" xfId="3" applyNumberFormat="1" applyFont="1" applyBorder="1" applyAlignment="1" applyProtection="1">
      <alignment horizontal="center" vertical="center" wrapText="1"/>
      <protection locked="0"/>
    </xf>
    <xf numFmtId="0" fontId="13" fillId="0" borderId="54" xfId="3" applyNumberFormat="1" applyFont="1" applyBorder="1" applyAlignment="1" applyProtection="1">
      <alignment horizontal="center" vertical="center" wrapText="1"/>
      <protection locked="0"/>
    </xf>
    <xf numFmtId="49" fontId="17" fillId="0" borderId="51" xfId="3" applyNumberFormat="1" applyFont="1" applyFill="1" applyBorder="1" applyAlignment="1" applyProtection="1">
      <alignment vertical="center"/>
      <protection locked="0"/>
    </xf>
    <xf numFmtId="49" fontId="17" fillId="0" borderId="52" xfId="3" applyNumberFormat="1" applyFont="1" applyFill="1" applyBorder="1" applyAlignment="1" applyProtection="1">
      <alignment vertical="center"/>
      <protection locked="0"/>
    </xf>
    <xf numFmtId="49" fontId="14" fillId="5" borderId="11" xfId="3" applyNumberFormat="1" applyFont="1" applyFill="1" applyBorder="1" applyAlignment="1" applyProtection="1">
      <alignment horizontal="center" vertical="center"/>
      <protection locked="0"/>
    </xf>
    <xf numFmtId="49" fontId="14" fillId="5" borderId="12" xfId="3" applyNumberFormat="1" applyFont="1" applyFill="1" applyBorder="1" applyAlignment="1" applyProtection="1">
      <alignment horizontal="center" vertical="center"/>
      <protection locked="0"/>
    </xf>
    <xf numFmtId="49" fontId="14" fillId="5" borderId="13" xfId="3" applyNumberFormat="1" applyFont="1" applyFill="1" applyBorder="1" applyAlignment="1" applyProtection="1">
      <alignment horizontal="center" vertical="center"/>
      <protection locked="0"/>
    </xf>
    <xf numFmtId="0" fontId="18" fillId="20" borderId="13" xfId="3" applyFont="1" applyFill="1" applyBorder="1" applyAlignment="1">
      <alignment horizontal="center" vertical="top" wrapText="1"/>
    </xf>
    <xf numFmtId="49" fontId="17" fillId="0" borderId="49" xfId="3" applyNumberFormat="1" applyFont="1" applyFill="1" applyBorder="1" applyAlignment="1" applyProtection="1">
      <alignment horizontal="left" vertical="center"/>
      <protection locked="0"/>
    </xf>
    <xf numFmtId="49" fontId="17" fillId="0" borderId="92" xfId="3" applyNumberFormat="1" applyFont="1" applyFill="1" applyBorder="1" applyAlignment="1" applyProtection="1">
      <alignment horizontal="left" vertical="center"/>
      <protection locked="0"/>
    </xf>
    <xf numFmtId="49" fontId="17" fillId="0" borderId="53" xfId="3" applyNumberFormat="1" applyFont="1" applyFill="1" applyBorder="1" applyAlignment="1" applyProtection="1">
      <alignment horizontal="center" vertical="center" wrapText="1"/>
      <protection locked="0"/>
    </xf>
    <xf numFmtId="49" fontId="17" fillId="0" borderId="10" xfId="3" applyNumberFormat="1" applyFont="1" applyFill="1" applyBorder="1" applyAlignment="1" applyProtection="1">
      <alignment vertical="center"/>
      <protection locked="0"/>
    </xf>
    <xf numFmtId="49" fontId="17" fillId="0" borderId="8" xfId="3" applyNumberFormat="1" applyFont="1" applyFill="1" applyBorder="1" applyAlignment="1" applyProtection="1">
      <alignment vertical="center"/>
      <protection locked="0"/>
    </xf>
    <xf numFmtId="49" fontId="17" fillId="0" borderId="53" xfId="3" applyNumberFormat="1" applyFont="1" applyFill="1" applyBorder="1" applyAlignment="1" applyProtection="1">
      <alignment horizontal="center" vertical="center"/>
      <protection locked="0"/>
    </xf>
    <xf numFmtId="49" fontId="17" fillId="11" borderId="49" xfId="3" applyNumberFormat="1" applyFont="1" applyFill="1" applyBorder="1" applyAlignment="1" applyProtection="1">
      <alignment horizontal="left" vertical="center"/>
      <protection locked="0"/>
    </xf>
    <xf numFmtId="49" fontId="17" fillId="11" borderId="92" xfId="3" applyNumberFormat="1" applyFont="1" applyFill="1" applyBorder="1" applyAlignment="1" applyProtection="1">
      <alignment horizontal="left" vertical="center"/>
      <protection locked="0"/>
    </xf>
    <xf numFmtId="49" fontId="17" fillId="11" borderId="53" xfId="3" applyNumberFormat="1" applyFont="1" applyFill="1" applyBorder="1" applyAlignment="1" applyProtection="1">
      <alignment horizontal="center" vertical="center" wrapText="1"/>
      <protection locked="0"/>
    </xf>
    <xf numFmtId="49" fontId="17" fillId="11" borderId="10" xfId="3" applyNumberFormat="1" applyFont="1" applyFill="1" applyBorder="1" applyAlignment="1" applyProtection="1">
      <alignment vertical="center"/>
      <protection locked="0"/>
    </xf>
    <xf numFmtId="49" fontId="17" fillId="11" borderId="8" xfId="3" applyNumberFormat="1" applyFont="1" applyFill="1" applyBorder="1" applyAlignment="1" applyProtection="1">
      <alignment vertical="center"/>
      <protection locked="0"/>
    </xf>
    <xf numFmtId="49" fontId="17" fillId="8" borderId="49" xfId="3" applyNumberFormat="1" applyFont="1" applyFill="1" applyBorder="1" applyAlignment="1" applyProtection="1">
      <alignment horizontal="left" vertical="center"/>
      <protection locked="0"/>
    </xf>
    <xf numFmtId="49" fontId="17" fillId="8" borderId="92" xfId="3" applyNumberFormat="1" applyFont="1" applyFill="1" applyBorder="1" applyAlignment="1" applyProtection="1">
      <alignment horizontal="left" vertical="center"/>
      <protection locked="0"/>
    </xf>
    <xf numFmtId="49" fontId="17" fillId="8" borderId="53" xfId="3" applyNumberFormat="1" applyFont="1" applyFill="1" applyBorder="1" applyAlignment="1" applyProtection="1">
      <alignment horizontal="center" vertical="center" wrapText="1"/>
      <protection locked="0"/>
    </xf>
    <xf numFmtId="49" fontId="17" fillId="0" borderId="49" xfId="3" applyNumberFormat="1" applyFont="1" applyFill="1" applyBorder="1" applyAlignment="1" applyProtection="1">
      <alignment horizontal="left" vertical="center" wrapText="1"/>
      <protection locked="0"/>
    </xf>
    <xf numFmtId="49" fontId="17" fillId="0" borderId="92" xfId="3" applyNumberFormat="1" applyFont="1" applyFill="1" applyBorder="1" applyAlignment="1" applyProtection="1">
      <alignment horizontal="left" vertical="center" wrapText="1"/>
      <protection locked="0"/>
    </xf>
    <xf numFmtId="49" fontId="17" fillId="10" borderId="49" xfId="3" applyNumberFormat="1" applyFont="1" applyFill="1" applyBorder="1" applyAlignment="1" applyProtection="1">
      <alignment horizontal="left" vertical="center"/>
      <protection locked="0"/>
    </xf>
    <xf numFmtId="49" fontId="17" fillId="10" borderId="92" xfId="3" applyNumberFormat="1" applyFont="1" applyFill="1" applyBorder="1" applyAlignment="1" applyProtection="1">
      <alignment horizontal="left" vertical="center"/>
      <protection locked="0"/>
    </xf>
    <xf numFmtId="49" fontId="17" fillId="10" borderId="53" xfId="3" applyNumberFormat="1" applyFont="1" applyFill="1" applyBorder="1" applyAlignment="1" applyProtection="1">
      <alignment horizontal="center" vertical="center"/>
      <protection locked="0"/>
    </xf>
    <xf numFmtId="49" fontId="17" fillId="11" borderId="53" xfId="3" applyNumberFormat="1" applyFont="1" applyFill="1" applyBorder="1" applyAlignment="1" applyProtection="1">
      <alignment horizontal="center" vertical="center"/>
      <protection locked="0"/>
    </xf>
    <xf numFmtId="49" fontId="17" fillId="9" borderId="22" xfId="3" applyNumberFormat="1" applyFont="1" applyFill="1" applyBorder="1" applyAlignment="1" applyProtection="1">
      <alignment horizontal="center" vertical="center"/>
      <protection locked="0"/>
    </xf>
    <xf numFmtId="49" fontId="17" fillId="9" borderId="45" xfId="3" applyNumberFormat="1" applyFont="1" applyFill="1" applyBorder="1" applyAlignment="1" applyProtection="1">
      <alignment horizontal="center" vertical="center"/>
      <protection locked="0"/>
    </xf>
    <xf numFmtId="17" fontId="17" fillId="9" borderId="121" xfId="3" applyNumberFormat="1" applyFont="1" applyFill="1" applyBorder="1" applyAlignment="1" applyProtection="1">
      <alignment vertical="center"/>
      <protection locked="0"/>
    </xf>
    <xf numFmtId="17" fontId="17" fillId="9" borderId="120" xfId="3" applyNumberFormat="1" applyFont="1" applyFill="1" applyBorder="1" applyAlignment="1" applyProtection="1">
      <alignment vertical="center"/>
      <protection locked="0"/>
    </xf>
    <xf numFmtId="17" fontId="17" fillId="10" borderId="10" xfId="3" applyNumberFormat="1" applyFont="1" applyFill="1" applyBorder="1" applyAlignment="1" applyProtection="1">
      <alignment vertical="center"/>
      <protection locked="0"/>
    </xf>
    <xf numFmtId="17" fontId="17" fillId="10" borderId="8" xfId="3" applyNumberFormat="1" applyFont="1" applyFill="1" applyBorder="1" applyAlignment="1" applyProtection="1">
      <alignment vertical="center"/>
      <protection locked="0"/>
    </xf>
    <xf numFmtId="49" fontId="22" fillId="7" borderId="11" xfId="3" applyNumberFormat="1" applyFont="1" applyFill="1" applyBorder="1" applyAlignment="1" applyProtection="1">
      <alignment horizontal="center" vertical="center" wrapText="1"/>
      <protection locked="0"/>
    </xf>
    <xf numFmtId="49" fontId="22" fillId="7" borderId="13" xfId="3" applyNumberFormat="1" applyFont="1" applyFill="1" applyBorder="1" applyAlignment="1" applyProtection="1">
      <alignment horizontal="center" vertical="center" wrapText="1"/>
      <protection locked="0"/>
    </xf>
    <xf numFmtId="49" fontId="23" fillId="6" borderId="11" xfId="3" applyNumberFormat="1" applyFont="1" applyFill="1" applyBorder="1" applyAlignment="1" applyProtection="1">
      <alignment horizontal="center" vertical="center" wrapText="1"/>
      <protection locked="0"/>
    </xf>
    <xf numFmtId="49" fontId="23" fillId="6" borderId="12" xfId="3" applyNumberFormat="1" applyFont="1" applyFill="1" applyBorder="1" applyAlignment="1" applyProtection="1">
      <alignment horizontal="center" vertical="center" wrapText="1"/>
      <protection locked="0"/>
    </xf>
    <xf numFmtId="49" fontId="23" fillId="6" borderId="16" xfId="3" applyNumberFormat="1" applyFont="1" applyFill="1" applyBorder="1" applyAlignment="1" applyProtection="1">
      <alignment horizontal="center" vertical="center" wrapText="1"/>
      <protection locked="0"/>
    </xf>
    <xf numFmtId="0" fontId="21" fillId="7" borderId="27" xfId="3" applyNumberFormat="1" applyFont="1" applyFill="1" applyBorder="1" applyAlignment="1" applyProtection="1">
      <alignment horizontal="center" vertical="center" wrapText="1"/>
      <protection locked="0"/>
    </xf>
    <xf numFmtId="0" fontId="21" fillId="7" borderId="13" xfId="3" applyNumberFormat="1" applyFont="1" applyFill="1" applyBorder="1" applyAlignment="1" applyProtection="1">
      <alignment horizontal="center" vertical="center" wrapText="1"/>
      <protection locked="0"/>
    </xf>
    <xf numFmtId="0" fontId="18" fillId="5" borderId="12" xfId="3" applyFont="1" applyFill="1" applyBorder="1" applyAlignment="1" applyProtection="1">
      <alignment horizontal="right" vertical="center"/>
      <protection locked="0"/>
    </xf>
    <xf numFmtId="49" fontId="18" fillId="7" borderId="11" xfId="3" applyNumberFormat="1" applyFont="1" applyFill="1" applyBorder="1" applyAlignment="1" applyProtection="1">
      <alignment horizontal="center" vertical="center"/>
      <protection locked="0"/>
    </xf>
    <xf numFmtId="49" fontId="18" fillId="7" borderId="12" xfId="3" applyNumberFormat="1" applyFont="1" applyFill="1" applyBorder="1" applyAlignment="1" applyProtection="1">
      <alignment horizontal="center" vertical="center"/>
      <protection locked="0"/>
    </xf>
    <xf numFmtId="49" fontId="18" fillId="7" borderId="91" xfId="3" applyNumberFormat="1" applyFont="1" applyFill="1" applyBorder="1" applyAlignment="1" applyProtection="1">
      <alignment horizontal="center" vertical="center"/>
      <protection locked="0"/>
    </xf>
    <xf numFmtId="49" fontId="18" fillId="7" borderId="15" xfId="3" applyNumberFormat="1" applyFont="1" applyFill="1" applyBorder="1" applyAlignment="1" applyProtection="1">
      <alignment horizontal="center" vertical="center"/>
      <protection locked="0"/>
    </xf>
    <xf numFmtId="0" fontId="9" fillId="0" borderId="11" xfId="5" applyFont="1" applyBorder="1" applyAlignment="1">
      <alignment horizontal="center"/>
    </xf>
    <xf numFmtId="0" fontId="9" fillId="0" borderId="13" xfId="5" applyFont="1" applyBorder="1" applyAlignment="1">
      <alignment horizontal="center"/>
    </xf>
    <xf numFmtId="0" fontId="9" fillId="16" borderId="11" xfId="5" applyFont="1" applyFill="1" applyBorder="1" applyAlignment="1">
      <alignment horizontal="center" vertical="center"/>
    </xf>
    <xf numFmtId="0" fontId="9" fillId="16" borderId="12" xfId="5" applyFont="1" applyFill="1" applyBorder="1" applyAlignment="1">
      <alignment horizontal="center" vertical="center"/>
    </xf>
    <xf numFmtId="0" fontId="9" fillId="16" borderId="13" xfId="5" applyFont="1" applyFill="1" applyBorder="1" applyAlignment="1">
      <alignment horizontal="center" vertical="center"/>
    </xf>
    <xf numFmtId="0" fontId="9" fillId="17" borderId="24" xfId="5" applyFont="1" applyFill="1" applyBorder="1" applyAlignment="1">
      <alignment horizontal="center"/>
    </xf>
    <xf numFmtId="0" fontId="9" fillId="17" borderId="20" xfId="5" applyFont="1" applyFill="1" applyBorder="1" applyAlignment="1">
      <alignment horizontal="center"/>
    </xf>
    <xf numFmtId="44" fontId="9" fillId="17" borderId="39" xfId="6" applyFont="1" applyFill="1" applyBorder="1" applyAlignment="1" applyProtection="1">
      <alignment horizontal="center"/>
    </xf>
    <xf numFmtId="44" fontId="9" fillId="17" borderId="1" xfId="6" applyFont="1" applyFill="1" applyBorder="1" applyAlignment="1" applyProtection="1">
      <alignment horizontal="center"/>
    </xf>
  </cellXfs>
  <cellStyles count="10">
    <cellStyle name="Lien hypertexte" xfId="8" builtinId="8"/>
    <cellStyle name="Monétaire" xfId="1" builtinId="4"/>
    <cellStyle name="Monétaire 2" xfId="4" xr:uid="{E6F911D1-2A72-41AB-BBCE-107043D6C775}"/>
    <cellStyle name="Monétaire 3" xfId="6" xr:uid="{6D85CD09-1AB2-4661-BD15-347C3739966B}"/>
    <cellStyle name="Normal" xfId="0" builtinId="0"/>
    <cellStyle name="Normal 2" xfId="3" xr:uid="{C52181C1-34D7-496B-A0F6-89810D8266FD}"/>
    <cellStyle name="Normal 3" xfId="5" xr:uid="{F5A4AD78-E6CF-424E-A065-D2C32E7921D7}"/>
    <cellStyle name="Normal 4" xfId="2" xr:uid="{CEE7CE1F-8283-4948-AA60-E7809AD0FE7C}"/>
    <cellStyle name="Normal 5" xfId="7" xr:uid="{79A2F7BD-9BBA-4539-9960-DCF98FF42A45}"/>
    <cellStyle name="Normal 6" xfId="9" xr:uid="{68B2AE6F-F343-4906-BC89-FE507DBB1619}"/>
  </cellStyles>
  <dxfs count="38">
    <dxf>
      <font>
        <color rgb="FF9C0006"/>
      </font>
      <fill>
        <patternFill patternType="solid">
          <fgColor indexed="23"/>
          <bgColor indexed="15"/>
        </patternFill>
      </fill>
    </dxf>
    <dxf>
      <font>
        <color rgb="FF9C0006"/>
      </font>
      <fill>
        <patternFill patternType="solid">
          <fgColor indexed="23"/>
          <bgColor indexed="15"/>
        </patternFill>
      </fill>
    </dxf>
    <dxf>
      <font>
        <color rgb="FF9C0006"/>
      </font>
      <fill>
        <patternFill patternType="solid">
          <fgColor indexed="23"/>
          <bgColor indexed="15"/>
        </patternFill>
      </fill>
    </dxf>
    <dxf>
      <font>
        <color rgb="FF9C0006"/>
      </font>
      <fill>
        <patternFill patternType="solid">
          <fgColor indexed="23"/>
          <bgColor indexed="15"/>
        </patternFill>
      </fill>
    </dxf>
    <dxf>
      <font>
        <color rgb="FF9C0006"/>
      </font>
      <fill>
        <patternFill patternType="solid">
          <fgColor indexed="23"/>
          <bgColor indexed="15"/>
        </patternFill>
      </fill>
    </dxf>
    <dxf>
      <font>
        <color rgb="FF9C0006"/>
      </font>
      <fill>
        <patternFill patternType="solid">
          <fgColor indexed="23"/>
          <bgColor indexed="15"/>
        </patternFill>
      </fill>
    </dxf>
    <dxf>
      <font>
        <color rgb="FF9C0006"/>
      </font>
      <fill>
        <patternFill patternType="solid">
          <fgColor indexed="23"/>
          <bgColor indexed="15"/>
        </patternFill>
      </fill>
    </dxf>
    <dxf>
      <font>
        <color rgb="FF9C0006"/>
      </font>
      <fill>
        <patternFill patternType="solid">
          <fgColor indexed="23"/>
          <bgColor indexed="15"/>
        </patternFill>
      </fill>
    </dxf>
    <dxf>
      <font>
        <color rgb="FF9C0006"/>
      </font>
      <fill>
        <patternFill patternType="solid">
          <fgColor indexed="23"/>
          <bgColor indexed="15"/>
        </patternFill>
      </fill>
    </dxf>
    <dxf>
      <font>
        <color rgb="FF9C0006"/>
      </font>
      <fill>
        <patternFill patternType="solid">
          <fgColor indexed="23"/>
          <bgColor indexed="15"/>
        </patternFill>
      </fill>
    </dxf>
    <dxf>
      <font>
        <color rgb="FF9C0006"/>
      </font>
      <fill>
        <patternFill patternType="solid">
          <fgColor indexed="23"/>
          <bgColor indexed="15"/>
        </patternFill>
      </fill>
    </dxf>
    <dxf>
      <font>
        <color rgb="FF9C0006"/>
      </font>
      <fill>
        <patternFill patternType="solid">
          <fgColor indexed="23"/>
          <bgColor indexed="1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8"/>
      </font>
    </dxf>
    <dxf>
      <font>
        <color theme="8"/>
      </font>
    </dxf>
    <dxf>
      <font>
        <color theme="5"/>
      </font>
      <fill>
        <patternFill patternType="solid">
          <fgColor auto="1"/>
          <bgColor theme="5"/>
        </patternFill>
      </fill>
    </dxf>
    <dxf>
      <font>
        <color theme="8"/>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0070C0"/>
      <rgbColor rgb="FFFFEDD7"/>
      <rgbColor rgb="FFE1F2D7"/>
      <rgbColor rgb="FFDAEAF4"/>
      <rgbColor rgb="FFFFFFFF"/>
      <rgbColor rgb="FFAAAAAA"/>
      <rgbColor rgb="FFFEFFFF"/>
      <rgbColor rgb="FFCBCBCB"/>
      <rgbColor rgb="FFD6D6D6"/>
      <rgbColor rgb="FFFF2D21"/>
      <rgbColor rgb="FFBFBFBF"/>
      <rgbColor rgb="00000000"/>
      <rgbColor rgb="FF9C0006"/>
      <rgbColor rgb="FFFF6600"/>
      <rgbColor rgb="FFFF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r-BE" b="1">
                <a:solidFill>
                  <a:schemeClr val="tx1"/>
                </a:solidFill>
              </a:rPr>
              <a:t>Charges</a:t>
            </a:r>
            <a:r>
              <a:rPr lang="fr-BE" b="1" baseline="0">
                <a:solidFill>
                  <a:schemeClr val="tx1"/>
                </a:solidFill>
              </a:rPr>
              <a:t> 2024</a:t>
            </a:r>
            <a:endParaRPr lang="fr-BE"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35EA-4A67-9DEF-DB565E80BE8E}"/>
              </c:ext>
            </c:extLst>
          </c:dPt>
          <c:dPt>
            <c:idx val="1"/>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3-35EA-4A67-9DEF-DB565E80BE8E}"/>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35EA-4A67-9DEF-DB565E80BE8E}"/>
              </c:ext>
            </c:extLst>
          </c:dPt>
          <c:dPt>
            <c:idx val="3"/>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7-35EA-4A67-9DEF-DB565E80BE8E}"/>
              </c:ext>
            </c:extLst>
          </c:dPt>
          <c:dPt>
            <c:idx val="4"/>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9-35EA-4A67-9DEF-DB565E80BE8E}"/>
              </c:ext>
            </c:extLst>
          </c:dPt>
          <c:dPt>
            <c:idx val="5"/>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B-35EA-4A67-9DEF-DB565E80BE8E}"/>
              </c:ext>
            </c:extLst>
          </c:dPt>
          <c:dPt>
            <c:idx val="6"/>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D-35EA-4A67-9DEF-DB565E80BE8E}"/>
              </c:ext>
            </c:extLst>
          </c:dPt>
          <c:dPt>
            <c:idx val="7"/>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F-35EA-4A67-9DEF-DB565E80BE8E}"/>
              </c:ext>
            </c:extLst>
          </c:dPt>
          <c:dLbls>
            <c:dLbl>
              <c:idx val="0"/>
              <c:layout>
                <c:manualLayout>
                  <c:x val="-0.13721280268534244"/>
                  <c:y val="7.7422272778830247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1081909138781174"/>
                      <c:h val="0.10507146992455403"/>
                    </c:manualLayout>
                  </c15:layout>
                </c:ext>
                <c:ext xmlns:c16="http://schemas.microsoft.com/office/drawing/2014/chart" uri="{C3380CC4-5D6E-409C-BE32-E72D297353CC}">
                  <c16:uniqueId val="{00000001-35EA-4A67-9DEF-DB565E80BE8E}"/>
                </c:ext>
              </c:extLst>
            </c:dLbl>
            <c:dLbl>
              <c:idx val="1"/>
              <c:layout>
                <c:manualLayout>
                  <c:x val="-0.18189195527227434"/>
                  <c:y val="0.135885312675054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3976311765550684"/>
                      <c:h val="9.6068008683952696E-2"/>
                    </c:manualLayout>
                  </c15:layout>
                </c:ext>
                <c:ext xmlns:c16="http://schemas.microsoft.com/office/drawing/2014/chart" uri="{C3380CC4-5D6E-409C-BE32-E72D297353CC}">
                  <c16:uniqueId val="{00000003-35EA-4A67-9DEF-DB565E80BE8E}"/>
                </c:ext>
              </c:extLst>
            </c:dLbl>
            <c:dLbl>
              <c:idx val="2"/>
              <c:layout>
                <c:manualLayout>
                  <c:x val="-2.1805819434907472E-2"/>
                  <c:y val="-9.225316711439191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6216328175574444"/>
                      <c:h val="8.2493127368845245E-2"/>
                    </c:manualLayout>
                  </c15:layout>
                </c:ext>
                <c:ext xmlns:c16="http://schemas.microsoft.com/office/drawing/2014/chart" uri="{C3380CC4-5D6E-409C-BE32-E72D297353CC}">
                  <c16:uniqueId val="{00000005-35EA-4A67-9DEF-DB565E80BE8E}"/>
                </c:ext>
              </c:extLst>
            </c:dLbl>
            <c:dLbl>
              <c:idx val="3"/>
              <c:layout>
                <c:manualLayout>
                  <c:x val="-0.11442909384718324"/>
                  <c:y val="6.024594014876835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3424932215145974"/>
                      <c:h val="7.0130655490698135E-2"/>
                    </c:manualLayout>
                  </c15:layout>
                </c:ext>
                <c:ext xmlns:c16="http://schemas.microsoft.com/office/drawing/2014/chart" uri="{C3380CC4-5D6E-409C-BE32-E72D297353CC}">
                  <c16:uniqueId val="{00000007-35EA-4A67-9DEF-DB565E80BE8E}"/>
                </c:ext>
              </c:extLst>
            </c:dLbl>
            <c:dLbl>
              <c:idx val="4"/>
              <c:layout>
                <c:manualLayout>
                  <c:x val="-0.12470300592094466"/>
                  <c:y val="-4.8918818316264101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2709684651547316"/>
                      <c:h val="8.3566700866868251E-2"/>
                    </c:manualLayout>
                  </c15:layout>
                </c:ext>
                <c:ext xmlns:c16="http://schemas.microsoft.com/office/drawing/2014/chart" uri="{C3380CC4-5D6E-409C-BE32-E72D297353CC}">
                  <c16:uniqueId val="{00000009-35EA-4A67-9DEF-DB565E80BE8E}"/>
                </c:ext>
              </c:extLst>
            </c:dLbl>
            <c:dLbl>
              <c:idx val="5"/>
              <c:layout>
                <c:manualLayout>
                  <c:x val="-0.19669796168569489"/>
                  <c:y val="-0.1219674828379040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3067308433346645"/>
                      <c:h val="8.0879491791634228E-2"/>
                    </c:manualLayout>
                  </c15:layout>
                </c:ext>
                <c:ext xmlns:c16="http://schemas.microsoft.com/office/drawing/2014/chart" uri="{C3380CC4-5D6E-409C-BE32-E72D297353CC}">
                  <c16:uniqueId val="{0000000B-35EA-4A67-9DEF-DB565E80BE8E}"/>
                </c:ext>
              </c:extLst>
            </c:dLbl>
            <c:dLbl>
              <c:idx val="6"/>
              <c:layout>
                <c:manualLayout>
                  <c:x val="0.18625516031157549"/>
                  <c:y val="-9.242421756630729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3725357490664256"/>
                      <c:h val="7.2016145259943043E-2"/>
                    </c:manualLayout>
                  </c15:layout>
                </c:ext>
                <c:ext xmlns:c16="http://schemas.microsoft.com/office/drawing/2014/chart" uri="{C3380CC4-5D6E-409C-BE32-E72D297353CC}">
                  <c16:uniqueId val="{0000000D-35EA-4A67-9DEF-DB565E80BE8E}"/>
                </c:ext>
              </c:extLst>
            </c:dLbl>
            <c:dLbl>
              <c:idx val="7"/>
              <c:layout>
                <c:manualLayout>
                  <c:x val="0.16838922531151235"/>
                  <c:y val="0.11811489351819399"/>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6581039342436158"/>
                      <c:h val="7.9370700430450761E-2"/>
                    </c:manualLayout>
                  </c15:layout>
                </c:ext>
                <c:ext xmlns:c16="http://schemas.microsoft.com/office/drawing/2014/chart" uri="{C3380CC4-5D6E-409C-BE32-E72D297353CC}">
                  <c16:uniqueId val="{0000000F-35EA-4A67-9DEF-DB565E80BE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Charges!$E$244:$E$251</c:f>
              <c:strCache>
                <c:ptCount val="8"/>
                <c:pt idx="0">
                  <c:v>Infrastructure</c:v>
                </c:pt>
                <c:pt idx="1">
                  <c:v>Activité</c:v>
                </c:pt>
                <c:pt idx="2">
                  <c:v>Fonctionnement</c:v>
                </c:pt>
                <c:pt idx="3">
                  <c:v>Sal. Fonct.</c:v>
                </c:pt>
                <c:pt idx="4">
                  <c:v>Sal. Rel. Publ.</c:v>
                </c:pt>
                <c:pt idx="5">
                  <c:v>Sal. Activité</c:v>
                </c:pt>
                <c:pt idx="6">
                  <c:v>Sal. Artistique</c:v>
                </c:pt>
                <c:pt idx="7">
                  <c:v>Sal. Art. techn.</c:v>
                </c:pt>
              </c:strCache>
            </c:strRef>
          </c:cat>
          <c:val>
            <c:numRef>
              <c:f>Charges!$G$244:$G$251</c:f>
              <c:numCache>
                <c:formatCode>_("€"* #,##0.00_);_("€"* \(#,##0.00\);_("€"* "-"??_);_(@_)</c:formatCode>
                <c:ptCount val="8"/>
                <c:pt idx="0">
                  <c:v>2820</c:v>
                </c:pt>
                <c:pt idx="1">
                  <c:v>27230</c:v>
                </c:pt>
                <c:pt idx="2">
                  <c:v>4000</c:v>
                </c:pt>
                <c:pt idx="3">
                  <c:v>26000</c:v>
                </c:pt>
                <c:pt idx="4">
                  <c:v>23000</c:v>
                </c:pt>
                <c:pt idx="5">
                  <c:v>26000</c:v>
                </c:pt>
                <c:pt idx="6">
                  <c:v>103700</c:v>
                </c:pt>
                <c:pt idx="7">
                  <c:v>26000</c:v>
                </c:pt>
              </c:numCache>
            </c:numRef>
          </c:val>
          <c:extLst>
            <c:ext xmlns:c16="http://schemas.microsoft.com/office/drawing/2014/chart" uri="{C3380CC4-5D6E-409C-BE32-E72D297353CC}">
              <c16:uniqueId val="{00000010-35EA-4A67-9DEF-DB565E80BE8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b="1"/>
              <a:t>Produits</a:t>
            </a:r>
            <a:r>
              <a:rPr lang="fr-BE" b="1" baseline="0"/>
              <a:t> 2024-2028</a:t>
            </a:r>
            <a:endParaRPr lang="fr-BE"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455011328144056"/>
          <c:y val="0.1787211048338069"/>
          <c:w val="0.77810395117949971"/>
          <c:h val="0.727036382746300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AB4-4EA0-A0EC-462A396ACFA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2AB4-4EA0-A0EC-462A396ACFA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2AB4-4EA0-A0EC-462A396ACFA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2AB4-4EA0-A0EC-462A396ACFA6}"/>
              </c:ext>
            </c:extLst>
          </c:dPt>
          <c:dLbls>
            <c:dLbl>
              <c:idx val="0"/>
              <c:layout>
                <c:manualLayout>
                  <c:x val="-0.16207780061844032"/>
                  <c:y val="0.13519708792524313"/>
                </c:manualLayout>
              </c:layout>
              <c:spPr>
                <a:xfrm>
                  <a:off x="2315375" y="560110"/>
                  <a:ext cx="1074759" cy="545818"/>
                </a:xfrm>
                <a:noFill/>
                <a:ln w="952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44619"/>
                        <a:gd name="adj2" fmla="val 227423"/>
                      </a:avLst>
                    </a:prstGeom>
                    <a:noFill/>
                    <a:ln>
                      <a:noFill/>
                    </a:ln>
                  </c15:spPr>
                  <c15:layout>
                    <c:manualLayout>
                      <c:w val="0.3048329824590616"/>
                      <c:h val="0.1446496273392823"/>
                    </c:manualLayout>
                  </c15:layout>
                </c:ext>
                <c:ext xmlns:c16="http://schemas.microsoft.com/office/drawing/2014/chart" uri="{C3380CC4-5D6E-409C-BE32-E72D297353CC}">
                  <c16:uniqueId val="{00000001-2AB4-4EA0-A0EC-462A396ACFA6}"/>
                </c:ext>
              </c:extLst>
            </c:dLbl>
            <c:dLbl>
              <c:idx val="1"/>
              <c:layout>
                <c:manualLayout>
                  <c:x val="-0.18277298069835698"/>
                  <c:y val="-0.14335564405972026"/>
                </c:manualLayout>
              </c:layout>
              <c:spPr>
                <a:xfrm>
                  <a:off x="244906" y="3129424"/>
                  <a:ext cx="1133899" cy="453457"/>
                </a:xfrm>
                <a:noFill/>
                <a:ln w="952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63975"/>
                        <a:gd name="adj2" fmla="val -104875"/>
                      </a:avLst>
                    </a:prstGeom>
                    <a:noFill/>
                    <a:ln>
                      <a:noFill/>
                    </a:ln>
                  </c15:spPr>
                  <c15:layout>
                    <c:manualLayout>
                      <c:w val="0.32160682882192143"/>
                      <c:h val="0.12017268770013133"/>
                    </c:manualLayout>
                  </c15:layout>
                </c:ext>
                <c:ext xmlns:c16="http://schemas.microsoft.com/office/drawing/2014/chart" uri="{C3380CC4-5D6E-409C-BE32-E72D297353CC}">
                  <c16:uniqueId val="{00000003-2AB4-4EA0-A0EC-462A396ACFA6}"/>
                </c:ext>
              </c:extLst>
            </c:dLbl>
            <c:dLbl>
              <c:idx val="2"/>
              <c:layout>
                <c:manualLayout>
                  <c:x val="-2.8376920019696064E-2"/>
                  <c:y val="-1.9943177072225669E-2"/>
                </c:manualLayout>
              </c:layout>
              <c:spPr>
                <a:xfrm>
                  <a:off x="152631" y="552674"/>
                  <a:ext cx="1269542" cy="372965"/>
                </a:xfrm>
                <a:noFill/>
                <a:ln w="952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6807"/>
                        <a:gd name="adj2" fmla="val 334780"/>
                      </a:avLst>
                    </a:prstGeom>
                    <a:noFill/>
                    <a:ln>
                      <a:noFill/>
                    </a:ln>
                  </c15:spPr>
                  <c15:layout>
                    <c:manualLayout>
                      <c:w val="0.33186280528449996"/>
                      <c:h val="9.8841355025566874E-2"/>
                    </c:manualLayout>
                  </c15:layout>
                </c:ext>
                <c:ext xmlns:c16="http://schemas.microsoft.com/office/drawing/2014/chart" uri="{C3380CC4-5D6E-409C-BE32-E72D297353CC}">
                  <c16:uniqueId val="{00000005-2AB4-4EA0-A0EC-462A396ACFA6}"/>
                </c:ext>
              </c:extLst>
            </c:dLbl>
            <c:dLbl>
              <c:idx val="3"/>
              <c:layout>
                <c:manualLayout>
                  <c:x val="0.17274470537194661"/>
                  <c:y val="9.086983629540618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7682509060170757"/>
                      <c:h val="0.11429129556198384"/>
                    </c:manualLayout>
                  </c15:layout>
                </c:ext>
                <c:ext xmlns:c16="http://schemas.microsoft.com/office/drawing/2014/chart" uri="{C3380CC4-5D6E-409C-BE32-E72D297353CC}">
                  <c16:uniqueId val="{00000007-2AB4-4EA0-A0EC-462A396ACFA6}"/>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('Budget simplifié'!$A$7,'Budget simplifié'!$A$8,'Budget simplifié'!$A$16,'Budget simplifié'!$A$22)</c:f>
              <c:strCache>
                <c:ptCount val="4"/>
                <c:pt idx="0">
                  <c:v>Subvention FWB</c:v>
                </c:pt>
                <c:pt idx="1">
                  <c:v>Subvention RW</c:v>
                </c:pt>
                <c:pt idx="2">
                  <c:v>Coproductions</c:v>
                </c:pt>
                <c:pt idx="3">
                  <c:v>Recettes propres</c:v>
                </c:pt>
              </c:strCache>
            </c:strRef>
          </c:cat>
          <c:val>
            <c:numRef>
              <c:f>('Budget simplifié'!$I$7,'Budget simplifié'!$I$8,'Budget simplifié'!$I$16,'Budget simplifié'!$I$22)</c:f>
              <c:numCache>
                <c:formatCode>_("€"* #,##0.00_);_("€"* \(#,##0.00\);_("€"* "-"??_);_(@_)</c:formatCode>
                <c:ptCount val="4"/>
                <c:pt idx="0">
                  <c:v>435000</c:v>
                </c:pt>
                <c:pt idx="1">
                  <c:v>295500</c:v>
                </c:pt>
                <c:pt idx="2">
                  <c:v>90000</c:v>
                </c:pt>
                <c:pt idx="3">
                  <c:v>549050</c:v>
                </c:pt>
              </c:numCache>
            </c:numRef>
          </c:val>
          <c:extLst>
            <c:ext xmlns:c16="http://schemas.microsoft.com/office/drawing/2014/chart" uri="{C3380CC4-5D6E-409C-BE32-E72D297353CC}">
              <c16:uniqueId val="{00000008-2AB4-4EA0-A0EC-462A396ACFA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r-BE" b="1">
                <a:solidFill>
                  <a:schemeClr val="tx1"/>
                </a:solidFill>
              </a:rPr>
              <a:t>Répartition des dépenses 2024-2028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35-41FF-ACD6-3558519FE1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CED-438C-B7E8-A2AB88FDC10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0135-41FF-ACD6-3558519FE18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CED-438C-B7E8-A2AB88FDC10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CED-438C-B7E8-A2AB88FDC10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CED-438C-B7E8-A2AB88FDC10B}"/>
              </c:ext>
            </c:extLst>
          </c:dPt>
          <c:dPt>
            <c:idx val="6"/>
            <c:bubble3D val="0"/>
            <c:spPr>
              <a:solidFill>
                <a:schemeClr val="accent4"/>
              </a:solidFill>
              <a:ln w="19050">
                <a:solidFill>
                  <a:schemeClr val="lt1"/>
                </a:solidFill>
              </a:ln>
              <a:effectLst/>
            </c:spPr>
            <c:extLst>
              <c:ext xmlns:c16="http://schemas.microsoft.com/office/drawing/2014/chart" uri="{C3380CC4-5D6E-409C-BE32-E72D297353CC}">
                <c16:uniqueId val="{00000002-0135-41FF-ACD6-3558519FE184}"/>
              </c:ext>
            </c:extLst>
          </c:dPt>
          <c:dPt>
            <c:idx val="7"/>
            <c:bubble3D val="0"/>
            <c:spPr>
              <a:solidFill>
                <a:schemeClr val="accent5"/>
              </a:solidFill>
              <a:ln w="19050">
                <a:solidFill>
                  <a:schemeClr val="lt1"/>
                </a:solidFill>
              </a:ln>
              <a:effectLst/>
            </c:spPr>
            <c:extLst>
              <c:ext xmlns:c16="http://schemas.microsoft.com/office/drawing/2014/chart" uri="{C3380CC4-5D6E-409C-BE32-E72D297353CC}">
                <c16:uniqueId val="{00000003-0135-41FF-ACD6-3558519FE184}"/>
              </c:ext>
            </c:extLst>
          </c:dPt>
          <c:dLbls>
            <c:dLbl>
              <c:idx val="0"/>
              <c:layout>
                <c:manualLayout>
                  <c:x val="-0.21305601047332057"/>
                  <c:y val="0.1402481493410855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35-41FF-ACD6-3558519FE184}"/>
                </c:ext>
              </c:extLst>
            </c:dLbl>
            <c:dLbl>
              <c:idx val="2"/>
              <c:layout>
                <c:manualLayout>
                  <c:x val="1.5651457656223243E-2"/>
                  <c:y val="-0.2439434979016476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135-41FF-ACD6-3558519FE184}"/>
                </c:ext>
              </c:extLst>
            </c:dLbl>
            <c:dLbl>
              <c:idx val="7"/>
              <c:layout>
                <c:manualLayout>
                  <c:x val="0.19321475713490804"/>
                  <c:y val="0.1630519410802356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135-41FF-ACD6-3558519FE184}"/>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'Budget simplifié'!$T$8:$T$15</c:f>
              <c:strCache>
                <c:ptCount val="8"/>
                <c:pt idx="0">
                  <c:v>Structure / fonctionnement</c:v>
                </c:pt>
                <c:pt idx="2">
                  <c:v>Créations</c:v>
                </c:pt>
                <c:pt idx="7">
                  <c:v>Représentations</c:v>
                </c:pt>
              </c:strCache>
            </c:strRef>
          </c:cat>
          <c:val>
            <c:numRef>
              <c:f>'Budget simplifié'!$U$8:$U$15</c:f>
              <c:numCache>
                <c:formatCode>General</c:formatCode>
                <c:ptCount val="8"/>
                <c:pt idx="0" formatCode="_(&quot;€&quot;* #,##0.00_);_(&quot;€&quot;* \(#,##0.00\);_(&quot;€&quot;* &quot;-&quot;??_);_(@_)">
                  <c:v>436290.3707733333</c:v>
                </c:pt>
                <c:pt idx="2" formatCode="_(&quot;€&quot;* #,##0.00_);_(&quot;€&quot;* \(#,##0.00\);_(&quot;€&quot;* &quot;-&quot;??_);_(@_)">
                  <c:v>535031.62832000002</c:v>
                </c:pt>
                <c:pt idx="7" formatCode="_(&quot;€&quot;* #,##0.00_);_(&quot;€&quot;* \(#,##0.00\);_(&quot;€&quot;* &quot;-&quot;??_);_(@_)">
                  <c:v>397632.64122666669</c:v>
                </c:pt>
              </c:numCache>
            </c:numRef>
          </c:val>
          <c:extLst>
            <c:ext xmlns:c16="http://schemas.microsoft.com/office/drawing/2014/chart" uri="{C3380CC4-5D6E-409C-BE32-E72D297353CC}">
              <c16:uniqueId val="{00000000-0135-41FF-ACD6-3558519FE184}"/>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r-BE" b="1">
                <a:solidFill>
                  <a:schemeClr val="tx1"/>
                </a:solidFill>
              </a:rPr>
              <a:t>Répartition des dépenses 2024-2028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5E-4AEE-A619-05A15352024C}"/>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F95E-4AEE-A619-05A15352024C}"/>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5-F95E-4AEE-A619-05A15352024C}"/>
              </c:ext>
            </c:extLst>
          </c:dPt>
          <c:dPt>
            <c:idx val="3"/>
            <c:bubble3D val="0"/>
            <c:spPr>
              <a:solidFill>
                <a:schemeClr val="accent1"/>
              </a:solidFill>
              <a:ln w="19050">
                <a:solidFill>
                  <a:schemeClr val="lt1"/>
                </a:solidFill>
              </a:ln>
              <a:effectLst/>
            </c:spPr>
            <c:extLst>
              <c:ext xmlns:c16="http://schemas.microsoft.com/office/drawing/2014/chart" uri="{C3380CC4-5D6E-409C-BE32-E72D297353CC}">
                <c16:uniqueId val="{00000007-F95E-4AEE-A619-05A15352024C}"/>
              </c:ext>
            </c:extLst>
          </c:dPt>
          <c:dPt>
            <c:idx val="4"/>
            <c:bubble3D val="0"/>
            <c:spPr>
              <a:solidFill>
                <a:schemeClr val="accent3"/>
              </a:solidFill>
              <a:ln w="19050">
                <a:solidFill>
                  <a:schemeClr val="lt1"/>
                </a:solidFill>
              </a:ln>
              <a:effectLst/>
            </c:spPr>
            <c:extLst>
              <c:ext xmlns:c16="http://schemas.microsoft.com/office/drawing/2014/chart" uri="{C3380CC4-5D6E-409C-BE32-E72D297353CC}">
                <c16:uniqueId val="{00000009-F95E-4AEE-A619-05A15352024C}"/>
              </c:ext>
            </c:extLst>
          </c:dPt>
          <c:dPt>
            <c:idx val="5"/>
            <c:bubble3D val="0"/>
            <c:spPr>
              <a:solidFill>
                <a:schemeClr val="accent3"/>
              </a:solidFill>
              <a:ln w="19050">
                <a:solidFill>
                  <a:schemeClr val="lt1"/>
                </a:solidFill>
              </a:ln>
              <a:effectLst/>
            </c:spPr>
            <c:extLst>
              <c:ext xmlns:c16="http://schemas.microsoft.com/office/drawing/2014/chart" uri="{C3380CC4-5D6E-409C-BE32-E72D297353CC}">
                <c16:uniqueId val="{0000000B-F95E-4AEE-A619-05A15352024C}"/>
              </c:ext>
            </c:extLst>
          </c:dPt>
          <c:dPt>
            <c:idx val="6"/>
            <c:bubble3D val="0"/>
            <c:spPr>
              <a:solidFill>
                <a:schemeClr val="accent3"/>
              </a:solidFill>
              <a:ln w="19050">
                <a:solidFill>
                  <a:schemeClr val="lt1"/>
                </a:solidFill>
              </a:ln>
              <a:effectLst/>
            </c:spPr>
            <c:extLst>
              <c:ext xmlns:c16="http://schemas.microsoft.com/office/drawing/2014/chart" uri="{C3380CC4-5D6E-409C-BE32-E72D297353CC}">
                <c16:uniqueId val="{0000000D-F95E-4AEE-A619-05A15352024C}"/>
              </c:ext>
            </c:extLst>
          </c:dPt>
          <c:dPt>
            <c:idx val="7"/>
            <c:bubble3D val="0"/>
            <c:spPr>
              <a:solidFill>
                <a:schemeClr val="accent5"/>
              </a:solidFill>
              <a:ln w="19050">
                <a:solidFill>
                  <a:schemeClr val="lt1"/>
                </a:solidFill>
              </a:ln>
              <a:effectLst/>
            </c:spPr>
            <c:extLst>
              <c:ext xmlns:c16="http://schemas.microsoft.com/office/drawing/2014/chart" uri="{C3380CC4-5D6E-409C-BE32-E72D297353CC}">
                <c16:uniqueId val="{0000000F-F95E-4AEE-A619-05A15352024C}"/>
              </c:ext>
            </c:extLst>
          </c:dPt>
          <c:dPt>
            <c:idx val="8"/>
            <c:bubble3D val="0"/>
            <c:spPr>
              <a:solidFill>
                <a:schemeClr val="accent5"/>
              </a:solidFill>
              <a:ln w="19050">
                <a:solidFill>
                  <a:schemeClr val="lt1"/>
                </a:solidFill>
              </a:ln>
              <a:effectLst/>
            </c:spPr>
            <c:extLst>
              <c:ext xmlns:c16="http://schemas.microsoft.com/office/drawing/2014/chart" uri="{C3380CC4-5D6E-409C-BE32-E72D297353CC}">
                <c16:uniqueId val="{00000011-F95E-4AEE-A619-05A15352024C}"/>
              </c:ext>
            </c:extLst>
          </c:dPt>
          <c:dPt>
            <c:idx val="9"/>
            <c:bubble3D val="0"/>
            <c:spPr>
              <a:solidFill>
                <a:schemeClr val="accent5"/>
              </a:solidFill>
              <a:ln w="19050">
                <a:solidFill>
                  <a:schemeClr val="lt1"/>
                </a:solidFill>
              </a:ln>
              <a:effectLst/>
            </c:spPr>
            <c:extLst>
              <c:ext xmlns:c16="http://schemas.microsoft.com/office/drawing/2014/chart" uri="{C3380CC4-5D6E-409C-BE32-E72D297353CC}">
                <c16:uniqueId val="{00000012-F95E-4AEE-A619-05A15352024C}"/>
              </c:ext>
            </c:extLst>
          </c:dPt>
          <c:dPt>
            <c:idx val="10"/>
            <c:bubble3D val="0"/>
            <c:spPr>
              <a:solidFill>
                <a:schemeClr val="accent5"/>
              </a:solidFill>
              <a:ln w="19050">
                <a:solidFill>
                  <a:schemeClr val="lt1"/>
                </a:solidFill>
              </a:ln>
              <a:effectLst/>
            </c:spPr>
            <c:extLst>
              <c:ext xmlns:c16="http://schemas.microsoft.com/office/drawing/2014/chart" uri="{C3380CC4-5D6E-409C-BE32-E72D297353CC}">
                <c16:uniqueId val="{00000013-F95E-4AEE-A619-05A15352024C}"/>
              </c:ext>
            </c:extLst>
          </c:dPt>
          <c:dLbls>
            <c:dLbl>
              <c:idx val="0"/>
              <c:layout>
                <c:manualLayout>
                  <c:x val="-0.14708864483598733"/>
                  <c:y val="0.1402482358779427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95E-4AEE-A619-05A15352024C}"/>
                </c:ext>
              </c:extLst>
            </c:dLbl>
            <c:dLbl>
              <c:idx val="2"/>
              <c:layout>
                <c:manualLayout>
                  <c:x val="1.017834412949721E-2"/>
                  <c:y val="-3.7314322196211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95E-4AEE-A619-05A15352024C}"/>
                </c:ext>
              </c:extLst>
            </c:dLbl>
            <c:dLbl>
              <c:idx val="3"/>
              <c:layout>
                <c:manualLayout>
                  <c:x val="-2.0815246976163444E-3"/>
                  <c:y val="5.18084225958240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95E-4AEE-A619-05A15352024C}"/>
                </c:ext>
              </c:extLst>
            </c:dLbl>
            <c:dLbl>
              <c:idx val="4"/>
              <c:layout>
                <c:manualLayout>
                  <c:x val="-0.16064964365222847"/>
                  <c:y val="-0.1320410039489165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95E-4AEE-A619-05A15352024C}"/>
                </c:ext>
              </c:extLst>
            </c:dLbl>
            <c:dLbl>
              <c:idx val="5"/>
              <c:layout>
                <c:manualLayout>
                  <c:x val="5.2157261177267406E-2"/>
                  <c:y val="-0.13772382354202095"/>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027510179759658"/>
                      <c:h val="0.10827973142808901"/>
                    </c:manualLayout>
                  </c15:layout>
                </c:ext>
                <c:ext xmlns:c16="http://schemas.microsoft.com/office/drawing/2014/chart" uri="{C3380CC4-5D6E-409C-BE32-E72D297353CC}">
                  <c16:uniqueId val="{0000000B-F95E-4AEE-A619-05A15352024C}"/>
                </c:ext>
              </c:extLst>
            </c:dLbl>
            <c:dLbl>
              <c:idx val="6"/>
              <c:layout>
                <c:manualLayout>
                  <c:x val="0.16155647526981323"/>
                  <c:y val="-0.10492876230761536"/>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5444292124923803"/>
                      <c:h val="0.10827973142808901"/>
                    </c:manualLayout>
                  </c15:layout>
                </c:ext>
                <c:ext xmlns:c16="http://schemas.microsoft.com/office/drawing/2014/chart" uri="{C3380CC4-5D6E-409C-BE32-E72D297353CC}">
                  <c16:uniqueId val="{0000000D-F95E-4AEE-A619-05A15352024C}"/>
                </c:ext>
              </c:extLst>
            </c:dLbl>
            <c:dLbl>
              <c:idx val="7"/>
              <c:layout>
                <c:manualLayout>
                  <c:x val="0.17738254578969961"/>
                  <c:y val="5.806516097856449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95E-4AEE-A619-05A15352024C}"/>
                </c:ext>
              </c:extLst>
            </c:dLbl>
            <c:dLbl>
              <c:idx val="8"/>
              <c:layout>
                <c:manualLayout>
                  <c:x val="-3.4001581555883648E-2"/>
                  <c:y val="2.007250128947684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F95E-4AEE-A619-05A15352024C}"/>
                </c:ext>
              </c:extLst>
            </c:dLbl>
            <c:dLbl>
              <c:idx val="9"/>
              <c:layout>
                <c:manualLayout>
                  <c:x val="1.8332446485191629E-2"/>
                  <c:y val="-1.1587808280721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2-F95E-4AEE-A619-05A15352024C}"/>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'Budget simplifié'!$Z$4:$Z$14</c:f>
              <c:strCache>
                <c:ptCount val="11"/>
                <c:pt idx="0">
                  <c:v>Sal. Fonct.</c:v>
                </c:pt>
                <c:pt idx="1">
                  <c:v>Rel. Publ.</c:v>
                </c:pt>
                <c:pt idx="2">
                  <c:v>Infrastructure</c:v>
                </c:pt>
                <c:pt idx="3">
                  <c:v>Fonctionnement</c:v>
                </c:pt>
                <c:pt idx="4">
                  <c:v>Les Petits Métiers</c:v>
                </c:pt>
                <c:pt idx="5">
                  <c:v>Le Giec pour les Nuls</c:v>
                </c:pt>
                <c:pt idx="6">
                  <c:v>Le Coin de ma Rue</c:v>
                </c:pt>
                <c:pt idx="7">
                  <c:v>Salaires Art.</c:v>
                </c:pt>
                <c:pt idx="8">
                  <c:v>Diffusion</c:v>
                </c:pt>
                <c:pt idx="9">
                  <c:v>Transport</c:v>
                </c:pt>
                <c:pt idx="10">
                  <c:v>Frais</c:v>
                </c:pt>
              </c:strCache>
            </c:strRef>
          </c:cat>
          <c:val>
            <c:numRef>
              <c:f>'Budget simplifié'!$AA$4:$AA$14</c:f>
              <c:numCache>
                <c:formatCode>_("€"* #,##0.00_);_("€"* \(#,##0.00\);_("€"* "-"??_);_(@_)</c:formatCode>
                <c:ptCount val="11"/>
                <c:pt idx="0">
                  <c:v>270610.08831999998</c:v>
                </c:pt>
                <c:pt idx="1">
                  <c:v>79795.282453333333</c:v>
                </c:pt>
                <c:pt idx="2">
                  <c:v>39000</c:v>
                </c:pt>
                <c:pt idx="3">
                  <c:v>46885</c:v>
                </c:pt>
                <c:pt idx="4">
                  <c:v>175143.36431179487</c:v>
                </c:pt>
                <c:pt idx="5">
                  <c:v>204958.74738871795</c:v>
                </c:pt>
                <c:pt idx="6">
                  <c:v>154929.51661948717</c:v>
                </c:pt>
                <c:pt idx="7">
                  <c:v>276800</c:v>
                </c:pt>
                <c:pt idx="8">
                  <c:v>39897.641226666667</c:v>
                </c:pt>
                <c:pt idx="9">
                  <c:v>26885</c:v>
                </c:pt>
                <c:pt idx="10">
                  <c:v>54050</c:v>
                </c:pt>
              </c:numCache>
            </c:numRef>
          </c:val>
          <c:extLst>
            <c:ext xmlns:c16="http://schemas.microsoft.com/office/drawing/2014/chart" uri="{C3380CC4-5D6E-409C-BE32-E72D297353CC}">
              <c16:uniqueId val="{00000010-F95E-4AEE-A619-05A15352024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r-BE" b="1">
                <a:solidFill>
                  <a:schemeClr val="tx1"/>
                </a:solidFill>
              </a:rPr>
              <a:t>Charges 2025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7293-4572-B5B8-431975C215DC}"/>
              </c:ext>
            </c:extLst>
          </c:dPt>
          <c:dPt>
            <c:idx val="1"/>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3-7293-4572-B5B8-431975C215DC}"/>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7293-4572-B5B8-431975C215DC}"/>
              </c:ext>
            </c:extLst>
          </c:dPt>
          <c:dPt>
            <c:idx val="3"/>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7-7293-4572-B5B8-431975C215DC}"/>
              </c:ext>
            </c:extLst>
          </c:dPt>
          <c:dPt>
            <c:idx val="4"/>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9-7293-4572-B5B8-431975C215DC}"/>
              </c:ext>
            </c:extLst>
          </c:dPt>
          <c:dPt>
            <c:idx val="5"/>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B-7293-4572-B5B8-431975C215DC}"/>
              </c:ext>
            </c:extLst>
          </c:dPt>
          <c:dPt>
            <c:idx val="6"/>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D-7293-4572-B5B8-431975C215DC}"/>
              </c:ext>
            </c:extLst>
          </c:dPt>
          <c:dPt>
            <c:idx val="7"/>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F-7293-4572-B5B8-431975C215DC}"/>
              </c:ext>
            </c:extLst>
          </c:dPt>
          <c:dLbls>
            <c:dLbl>
              <c:idx val="0"/>
              <c:layout>
                <c:manualLayout>
                  <c:x val="-0.14730318829703185"/>
                  <c:y val="-2.3597803643378667E-2"/>
                </c:manualLayout>
              </c:layout>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318249474295794"/>
                      <c:h val="7.2836542446705815E-2"/>
                    </c:manualLayout>
                  </c15:layout>
                </c:ext>
                <c:ext xmlns:c16="http://schemas.microsoft.com/office/drawing/2014/chart" uri="{C3380CC4-5D6E-409C-BE32-E72D297353CC}">
                  <c16:uniqueId val="{00000001-7293-4572-B5B8-431975C215DC}"/>
                </c:ext>
              </c:extLst>
            </c:dLbl>
            <c:dLbl>
              <c:idx val="1"/>
              <c:layout>
                <c:manualLayout>
                  <c:x val="-0.17182602877367714"/>
                  <c:y val="0.11968346043352177"/>
                </c:manualLayout>
              </c:layout>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4262161347205777"/>
                      <c:h val="7.0268928269755573E-2"/>
                    </c:manualLayout>
                  </c15:layout>
                </c:ext>
                <c:ext xmlns:c16="http://schemas.microsoft.com/office/drawing/2014/chart" uri="{C3380CC4-5D6E-409C-BE32-E72D297353CC}">
                  <c16:uniqueId val="{00000003-7293-4572-B5B8-431975C215DC}"/>
                </c:ext>
              </c:extLst>
            </c:dLbl>
            <c:dLbl>
              <c:idx val="2"/>
              <c:layout>
                <c:manualLayout>
                  <c:x val="-4.6283784771269584E-4"/>
                  <c:y val="-0.10884192210967045"/>
                </c:manualLayout>
              </c:layout>
              <c:showLegendKey val="0"/>
              <c:showVal val="0"/>
              <c:showCatName val="1"/>
              <c:showSerName val="0"/>
              <c:showPercent val="1"/>
              <c:showBubbleSize val="0"/>
              <c:extLst>
                <c:ext xmlns:c15="http://schemas.microsoft.com/office/drawing/2012/chart" uri="{CE6537A1-D6FC-4f65-9D91-7224C49458BB}">
                  <c15:layout>
                    <c:manualLayout>
                      <c:w val="0.2537900633957792"/>
                      <c:h val="7.234578670394852E-2"/>
                    </c:manualLayout>
                  </c15:layout>
                </c:ext>
                <c:ext xmlns:c16="http://schemas.microsoft.com/office/drawing/2014/chart" uri="{C3380CC4-5D6E-409C-BE32-E72D297353CC}">
                  <c16:uniqueId val="{00000005-7293-4572-B5B8-431975C215DC}"/>
                </c:ext>
              </c:extLst>
            </c:dLbl>
            <c:dLbl>
              <c:idx val="3"/>
              <c:layout>
                <c:manualLayout>
                  <c:x val="-9.6994193917388768E-2"/>
                  <c:y val="1.3114544301048921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2464497603268058"/>
                      <c:h val="6.4932277462045468E-2"/>
                    </c:manualLayout>
                  </c15:layout>
                </c:ext>
                <c:ext xmlns:c16="http://schemas.microsoft.com/office/drawing/2014/chart" uri="{C3380CC4-5D6E-409C-BE32-E72D297353CC}">
                  <c16:uniqueId val="{00000007-7293-4572-B5B8-431975C215DC}"/>
                </c:ext>
              </c:extLst>
            </c:dLbl>
            <c:dLbl>
              <c:idx val="4"/>
              <c:layout>
                <c:manualLayout>
                  <c:x val="-5.9872009341326846E-2"/>
                  <c:y val="-3.9213836973886758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964906663106342"/>
                      <c:h val="8.0361673728616509E-2"/>
                    </c:manualLayout>
                  </c15:layout>
                </c:ext>
                <c:ext xmlns:c16="http://schemas.microsoft.com/office/drawing/2014/chart" uri="{C3380CC4-5D6E-409C-BE32-E72D297353CC}">
                  <c16:uniqueId val="{00000009-7293-4572-B5B8-431975C215DC}"/>
                </c:ext>
              </c:extLst>
            </c:dLbl>
            <c:dLbl>
              <c:idx val="5"/>
              <c:layout>
                <c:manualLayout>
                  <c:x val="-0.18680362225331221"/>
                  <c:y val="-0.10651416977537194"/>
                </c:manualLayout>
              </c:layout>
              <c:showLegendKey val="0"/>
              <c:showVal val="0"/>
              <c:showCatName val="1"/>
              <c:showSerName val="0"/>
              <c:showPercent val="1"/>
              <c:showBubbleSize val="0"/>
              <c:extLst>
                <c:ext xmlns:c15="http://schemas.microsoft.com/office/drawing/2012/chart" uri="{CE6537A1-D6FC-4f65-9D91-7224C49458BB}">
                  <c15:layout>
                    <c:manualLayout>
                      <c:w val="0.22913801482098337"/>
                      <c:h val="8.2973611972073633E-2"/>
                    </c:manualLayout>
                  </c15:layout>
                </c:ext>
                <c:ext xmlns:c16="http://schemas.microsoft.com/office/drawing/2014/chart" uri="{C3380CC4-5D6E-409C-BE32-E72D297353CC}">
                  <c16:uniqueId val="{0000000B-7293-4572-B5B8-431975C215DC}"/>
                </c:ext>
              </c:extLst>
            </c:dLbl>
            <c:dLbl>
              <c:idx val="6"/>
              <c:layout>
                <c:manualLayout>
                  <c:x val="0.2083582018624949"/>
                  <c:y val="-0.1018735294343606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462108937318179"/>
                      <c:h val="7.7790154187202989E-2"/>
                    </c:manualLayout>
                  </c15:layout>
                </c:ext>
                <c:ext xmlns:c16="http://schemas.microsoft.com/office/drawing/2014/chart" uri="{C3380CC4-5D6E-409C-BE32-E72D297353CC}">
                  <c16:uniqueId val="{0000000D-7293-4572-B5B8-431975C215DC}"/>
                </c:ext>
              </c:extLst>
            </c:dLbl>
            <c:dLbl>
              <c:idx val="7"/>
              <c:layout>
                <c:manualLayout>
                  <c:x val="0.14189940309872709"/>
                  <c:y val="0.1073478041642254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6774396663553268"/>
                      <c:h val="7.2639018111990833E-2"/>
                    </c:manualLayout>
                  </c15:layout>
                </c:ext>
                <c:ext xmlns:c16="http://schemas.microsoft.com/office/drawing/2014/chart" uri="{C3380CC4-5D6E-409C-BE32-E72D297353CC}">
                  <c16:uniqueId val="{0000000F-7293-4572-B5B8-431975C215DC}"/>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Charges!$E$244:$E$251</c:f>
              <c:strCache>
                <c:ptCount val="8"/>
                <c:pt idx="0">
                  <c:v>Infrastructure</c:v>
                </c:pt>
                <c:pt idx="1">
                  <c:v>Activité</c:v>
                </c:pt>
                <c:pt idx="2">
                  <c:v>Fonctionnement</c:v>
                </c:pt>
                <c:pt idx="3">
                  <c:v>Sal. Fonct.</c:v>
                </c:pt>
                <c:pt idx="4">
                  <c:v>Sal. Rel. Publ.</c:v>
                </c:pt>
                <c:pt idx="5">
                  <c:v>Sal. Activité</c:v>
                </c:pt>
                <c:pt idx="6">
                  <c:v>Sal. Artistique</c:v>
                </c:pt>
                <c:pt idx="7">
                  <c:v>Sal. Art. techn.</c:v>
                </c:pt>
              </c:strCache>
            </c:strRef>
          </c:cat>
          <c:val>
            <c:numRef>
              <c:f>Charges!$H$244:$H$251</c:f>
              <c:numCache>
                <c:formatCode>_("€"* #,##0.00_);_("€"* \(#,##0.00\);_("€"* "-"??_);_(@_)</c:formatCode>
                <c:ptCount val="8"/>
                <c:pt idx="0">
                  <c:v>2820</c:v>
                </c:pt>
                <c:pt idx="1">
                  <c:v>45270</c:v>
                </c:pt>
                <c:pt idx="2">
                  <c:v>10000</c:v>
                </c:pt>
                <c:pt idx="3">
                  <c:v>26520</c:v>
                </c:pt>
                <c:pt idx="4">
                  <c:v>23460</c:v>
                </c:pt>
                <c:pt idx="5">
                  <c:v>26520</c:v>
                </c:pt>
                <c:pt idx="6">
                  <c:v>147640</c:v>
                </c:pt>
                <c:pt idx="7">
                  <c:v>26520</c:v>
                </c:pt>
              </c:numCache>
            </c:numRef>
          </c:val>
          <c:extLst>
            <c:ext xmlns:c16="http://schemas.microsoft.com/office/drawing/2014/chart" uri="{C3380CC4-5D6E-409C-BE32-E72D297353CC}">
              <c16:uniqueId val="{00000010-7293-4572-B5B8-431975C215D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r-BE" b="1">
                <a:solidFill>
                  <a:schemeClr val="tx1"/>
                </a:solidFill>
              </a:rPr>
              <a:t>Produits 2024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01B-4B9E-83EC-11DB2E92CCFD}"/>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901B-4B9E-83EC-11DB2E92CCFD}"/>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901B-4B9E-83EC-11DB2E92CCFD}"/>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6-2F6A-4EED-829D-4ACED964487B}"/>
              </c:ext>
            </c:extLst>
          </c:dPt>
          <c:dLbls>
            <c:dLbl>
              <c:idx val="0"/>
              <c:layout>
                <c:manualLayout>
                  <c:x val="-0.16191282205722479"/>
                  <c:y val="0.13320224646450712"/>
                </c:manualLayout>
              </c:layout>
              <c:spPr>
                <a:xfrm>
                  <a:off x="2573653" y="346013"/>
                  <a:ext cx="864023" cy="581830"/>
                </a:xfrm>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54189"/>
                        <a:gd name="adj2" fmla="val 135597"/>
                      </a:avLst>
                    </a:prstGeom>
                    <a:noFill/>
                    <a:ln>
                      <a:noFill/>
                    </a:ln>
                  </c15:spPr>
                  <c15:layout>
                    <c:manualLayout>
                      <c:w val="0.31112066629185331"/>
                      <c:h val="0.15329027412125906"/>
                    </c:manualLayout>
                  </c15:layout>
                </c:ext>
                <c:ext xmlns:c16="http://schemas.microsoft.com/office/drawing/2014/chart" uri="{C3380CC4-5D6E-409C-BE32-E72D297353CC}">
                  <c16:uniqueId val="{00000001-901B-4B9E-83EC-11DB2E92CCFD}"/>
                </c:ext>
              </c:extLst>
            </c:dLbl>
            <c:dLbl>
              <c:idx val="1"/>
              <c:layout>
                <c:manualLayout>
                  <c:x val="-0.17701100296125297"/>
                  <c:y val="-0.17693750289617846"/>
                </c:manualLayout>
              </c:layout>
              <c:spPr>
                <a:xfrm>
                  <a:off x="73814" y="3135083"/>
                  <a:ext cx="851630" cy="436466"/>
                </a:xfrm>
                <a:noFill/>
                <a:ln w="952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91810"/>
                        <a:gd name="adj2" fmla="val -91712"/>
                      </a:avLst>
                    </a:prstGeom>
                    <a:noFill/>
                    <a:ln>
                      <a:noFill/>
                    </a:ln>
                  </c15:spPr>
                  <c15:layout>
                    <c:manualLayout>
                      <c:w val="0.31481362989656797"/>
                      <c:h val="0.11499228943032305"/>
                    </c:manualLayout>
                  </c15:layout>
                </c:ext>
                <c:ext xmlns:c16="http://schemas.microsoft.com/office/drawing/2014/chart" uri="{C3380CC4-5D6E-409C-BE32-E72D297353CC}">
                  <c16:uniqueId val="{00000003-901B-4B9E-83EC-11DB2E92CCFD}"/>
                </c:ext>
              </c:extLst>
            </c:dLbl>
            <c:dLbl>
              <c:idx val="2"/>
              <c:layout>
                <c:manualLayout>
                  <c:x val="-4.1310260771810145E-2"/>
                  <c:y val="-1.7920508683412141E-2"/>
                </c:manualLayout>
              </c:layout>
              <c:spPr>
                <a:xfrm>
                  <a:off x="152399" y="417440"/>
                  <a:ext cx="1178961" cy="442129"/>
                </a:xfrm>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944"/>
                        <a:gd name="adj2" fmla="val 119776"/>
                      </a:avLst>
                    </a:prstGeom>
                    <a:noFill/>
                    <a:ln>
                      <a:noFill/>
                    </a:ln>
                  </c15:spPr>
                  <c15:layout>
                    <c:manualLayout>
                      <c:w val="0.25275159345435999"/>
                      <c:h val="0.11648456215710595"/>
                    </c:manualLayout>
                  </c15:layout>
                </c:ext>
                <c:ext xmlns:c16="http://schemas.microsoft.com/office/drawing/2014/chart" uri="{C3380CC4-5D6E-409C-BE32-E72D297353CC}">
                  <c16:uniqueId val="{00000005-901B-4B9E-83EC-11DB2E92CCFD}"/>
                </c:ext>
              </c:extLst>
            </c:dLbl>
            <c:dLbl>
              <c:idx val="3"/>
              <c:layout>
                <c:manualLayout>
                  <c:x val="0.15530012509892882"/>
                  <c:y val="9.238135367644913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9225487193356192"/>
                      <c:h val="0.11758915110453506"/>
                    </c:manualLayout>
                  </c15:layout>
                </c:ext>
                <c:ext xmlns:c16="http://schemas.microsoft.com/office/drawing/2014/chart" uri="{C3380CC4-5D6E-409C-BE32-E72D297353CC}">
                  <c16:uniqueId val="{00000006-2F6A-4EED-829D-4ACED964487B}"/>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Produits!$E$178:$E$181</c:f>
              <c:strCache>
                <c:ptCount val="4"/>
                <c:pt idx="0">
                  <c:v>Subvention FWB</c:v>
                </c:pt>
                <c:pt idx="1">
                  <c:v>Subvention RW</c:v>
                </c:pt>
                <c:pt idx="2">
                  <c:v>Coproduction</c:v>
                </c:pt>
                <c:pt idx="3">
                  <c:v>Recettes propres</c:v>
                </c:pt>
              </c:strCache>
            </c:strRef>
          </c:cat>
          <c:val>
            <c:numRef>
              <c:f>Produits!$F$178:$F$181</c:f>
              <c:numCache>
                <c:formatCode>_("€"* #,##0.00_);_("€"* \(#,##0.00\);_("€"* "-"??_);_(@_)</c:formatCode>
                <c:ptCount val="4"/>
                <c:pt idx="0">
                  <c:v>87000</c:v>
                </c:pt>
                <c:pt idx="1">
                  <c:v>59100</c:v>
                </c:pt>
                <c:pt idx="2">
                  <c:v>10000</c:v>
                </c:pt>
                <c:pt idx="3">
                  <c:v>100950</c:v>
                </c:pt>
              </c:numCache>
            </c:numRef>
          </c:val>
          <c:extLst>
            <c:ext xmlns:c16="http://schemas.microsoft.com/office/drawing/2014/chart" uri="{C3380CC4-5D6E-409C-BE32-E72D297353CC}">
              <c16:uniqueId val="{00000006-901B-4B9E-83EC-11DB2E92CCF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r-BE" b="1">
                <a:solidFill>
                  <a:schemeClr val="tx1"/>
                </a:solidFill>
              </a:rPr>
              <a:t>Produits 2025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0.11455011328144056"/>
          <c:y val="0.1787211048338069"/>
          <c:w val="0.77810395117949971"/>
          <c:h val="0.727036382746300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F3-4E62-B8C0-A503B5757A77}"/>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EEF3-4E62-B8C0-A503B5757A7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EEF3-4E62-B8C0-A503B5757A7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6-3EC1-4EE0-8F23-288855A99317}"/>
              </c:ext>
            </c:extLst>
          </c:dPt>
          <c:dLbls>
            <c:dLbl>
              <c:idx val="0"/>
              <c:layout>
                <c:manualLayout>
                  <c:x val="-0.16209399920356971"/>
                  <c:y val="0.1704374394575833"/>
                </c:manualLayout>
              </c:layout>
              <c:spPr>
                <a:xfrm>
                  <a:off x="2315375" y="560110"/>
                  <a:ext cx="1074759" cy="545818"/>
                </a:xfrm>
                <a:noFill/>
                <a:ln w="952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44619"/>
                        <a:gd name="adj2" fmla="val 227423"/>
                      </a:avLst>
                    </a:prstGeom>
                    <a:noFill/>
                    <a:ln>
                      <a:noFill/>
                    </a:ln>
                  </c15:spPr>
                  <c15:layout>
                    <c:manualLayout>
                      <c:w val="0.3048329824590616"/>
                      <c:h val="0.1446496273392823"/>
                    </c:manualLayout>
                  </c15:layout>
                </c:ext>
                <c:ext xmlns:c16="http://schemas.microsoft.com/office/drawing/2014/chart" uri="{C3380CC4-5D6E-409C-BE32-E72D297353CC}">
                  <c16:uniqueId val="{00000001-EEF3-4E62-B8C0-A503B5757A77}"/>
                </c:ext>
              </c:extLst>
            </c:dLbl>
            <c:dLbl>
              <c:idx val="1"/>
              <c:layout>
                <c:manualLayout>
                  <c:x val="-0.1801044435595219"/>
                  <c:y val="-0.18825500154218847"/>
                </c:manualLayout>
              </c:layout>
              <c:spPr>
                <a:xfrm>
                  <a:off x="244906" y="3129424"/>
                  <a:ext cx="1133899" cy="453457"/>
                </a:xfrm>
                <a:noFill/>
                <a:ln w="952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63975"/>
                        <a:gd name="adj2" fmla="val -104875"/>
                      </a:avLst>
                    </a:prstGeom>
                    <a:noFill/>
                    <a:ln>
                      <a:noFill/>
                    </a:ln>
                  </c15:spPr>
                  <c15:layout>
                    <c:manualLayout>
                      <c:w val="0.32160682882192143"/>
                      <c:h val="0.12017268770013133"/>
                    </c:manualLayout>
                  </c15:layout>
                </c:ext>
                <c:ext xmlns:c16="http://schemas.microsoft.com/office/drawing/2014/chart" uri="{C3380CC4-5D6E-409C-BE32-E72D297353CC}">
                  <c16:uniqueId val="{00000003-EEF3-4E62-B8C0-A503B5757A77}"/>
                </c:ext>
              </c:extLst>
            </c:dLbl>
            <c:dLbl>
              <c:idx val="2"/>
              <c:layout>
                <c:manualLayout>
                  <c:x val="-7.384296367392644E-2"/>
                  <c:y val="-4.1812415674272449E-2"/>
                </c:manualLayout>
              </c:layout>
              <c:spPr>
                <a:xfrm>
                  <a:off x="152631" y="552674"/>
                  <a:ext cx="1269542" cy="372965"/>
                </a:xfrm>
                <a:noFill/>
                <a:ln w="952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6807"/>
                        <a:gd name="adj2" fmla="val 334780"/>
                      </a:avLst>
                    </a:prstGeom>
                    <a:noFill/>
                    <a:ln>
                      <a:noFill/>
                    </a:ln>
                  </c15:spPr>
                  <c15:layout>
                    <c:manualLayout>
                      <c:w val="0.24121005226716039"/>
                      <c:h val="9.8841271673981879E-2"/>
                    </c:manualLayout>
                  </c15:layout>
                </c:ext>
                <c:ext xmlns:c16="http://schemas.microsoft.com/office/drawing/2014/chart" uri="{C3380CC4-5D6E-409C-BE32-E72D297353CC}">
                  <c16:uniqueId val="{00000005-EEF3-4E62-B8C0-A503B5757A77}"/>
                </c:ext>
              </c:extLst>
            </c:dLbl>
            <c:dLbl>
              <c:idx val="3"/>
              <c:layout>
                <c:manualLayout>
                  <c:x val="0.16569608807476008"/>
                  <c:y val="0.10022436267502755"/>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9508453847314542"/>
                      <c:h val="0.11829751065302602"/>
                    </c:manualLayout>
                  </c15:layout>
                </c:ext>
                <c:ext xmlns:c16="http://schemas.microsoft.com/office/drawing/2014/chart" uri="{C3380CC4-5D6E-409C-BE32-E72D297353CC}">
                  <c16:uniqueId val="{00000006-3EC1-4EE0-8F23-288855A99317}"/>
                </c:ext>
              </c:extLst>
            </c:dLbl>
            <c:spPr>
              <a:no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fr-FR"/>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Produits!$E$178:$E$181</c:f>
              <c:strCache>
                <c:ptCount val="4"/>
                <c:pt idx="0">
                  <c:v>Subvention FWB</c:v>
                </c:pt>
                <c:pt idx="1">
                  <c:v>Subvention RW</c:v>
                </c:pt>
                <c:pt idx="2">
                  <c:v>Coproduction</c:v>
                </c:pt>
                <c:pt idx="3">
                  <c:v>Recettes propres</c:v>
                </c:pt>
              </c:strCache>
            </c:strRef>
          </c:cat>
          <c:val>
            <c:numRef>
              <c:f>Produits!$G$178:$G$181</c:f>
              <c:numCache>
                <c:formatCode>_("€"* #,##0.00_);_("€"* \(#,##0.00\);_("€"* "-"??_);_(@_)</c:formatCode>
                <c:ptCount val="4"/>
                <c:pt idx="0">
                  <c:v>87000</c:v>
                </c:pt>
                <c:pt idx="1">
                  <c:v>59100</c:v>
                </c:pt>
                <c:pt idx="2">
                  <c:v>30000</c:v>
                </c:pt>
                <c:pt idx="3">
                  <c:v>114350</c:v>
                </c:pt>
              </c:numCache>
            </c:numRef>
          </c:val>
          <c:extLst>
            <c:ext xmlns:c16="http://schemas.microsoft.com/office/drawing/2014/chart" uri="{C3380CC4-5D6E-409C-BE32-E72D297353CC}">
              <c16:uniqueId val="{00000006-EEF3-4E62-B8C0-A503B5757A7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b="1"/>
              <a:t>Produits 2024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05D-4CD0-999D-E61BC09256C7}"/>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E05D-4CD0-999D-E61BC09256C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2-E05D-4CD0-999D-E61BC09256C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6-D459-4978-A276-B81724255859}"/>
              </c:ext>
            </c:extLst>
          </c:dPt>
          <c:dLbls>
            <c:dLbl>
              <c:idx val="0"/>
              <c:layout>
                <c:manualLayout>
                  <c:x val="-0.15648270422507327"/>
                  <c:y val="0.10337642805549124"/>
                </c:manualLayout>
              </c:layout>
              <c:spPr>
                <a:xfrm>
                  <a:off x="2573653" y="346013"/>
                  <a:ext cx="864023" cy="581830"/>
                </a:xfrm>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54189"/>
                        <a:gd name="adj2" fmla="val 135597"/>
                      </a:avLst>
                    </a:prstGeom>
                    <a:noFill/>
                    <a:ln>
                      <a:noFill/>
                    </a:ln>
                  </c15:spPr>
                  <c15:layout>
                    <c:manualLayout>
                      <c:w val="0.30754227044892718"/>
                      <c:h val="0.15329030591882517"/>
                    </c:manualLayout>
                  </c15:layout>
                </c:ext>
                <c:ext xmlns:c16="http://schemas.microsoft.com/office/drawing/2014/chart" uri="{C3380CC4-5D6E-409C-BE32-E72D297353CC}">
                  <c16:uniqueId val="{00000001-E05D-4CD0-999D-E61BC09256C7}"/>
                </c:ext>
              </c:extLst>
            </c:dLbl>
            <c:dLbl>
              <c:idx val="1"/>
              <c:layout>
                <c:manualLayout>
                  <c:x val="-0.18070684052373573"/>
                  <c:y val="-0.13276880136689417"/>
                </c:manualLayout>
              </c:layout>
              <c:spPr>
                <a:xfrm>
                  <a:off x="73814" y="3135083"/>
                  <a:ext cx="851630" cy="436466"/>
                </a:xfrm>
                <a:noFill/>
                <a:ln w="952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91810"/>
                        <a:gd name="adj2" fmla="val -91712"/>
                      </a:avLst>
                    </a:prstGeom>
                    <a:noFill/>
                    <a:ln>
                      <a:noFill/>
                    </a:ln>
                  </c15:spPr>
                  <c15:layout>
                    <c:manualLayout>
                      <c:w val="0.27871693139758802"/>
                      <c:h val="0.11499233165769226"/>
                    </c:manualLayout>
                  </c15:layout>
                </c:ext>
                <c:ext xmlns:c16="http://schemas.microsoft.com/office/drawing/2014/chart" uri="{C3380CC4-5D6E-409C-BE32-E72D297353CC}">
                  <c16:uniqueId val="{00000003-E05D-4CD0-999D-E61BC09256C7}"/>
                </c:ext>
              </c:extLst>
            </c:dLbl>
            <c:dLbl>
              <c:idx val="2"/>
              <c:layout>
                <c:manualLayout>
                  <c:x val="2.911401238340763E-2"/>
                  <c:y val="-1.2656747907515437E-2"/>
                </c:manualLayout>
              </c:layout>
              <c:spPr>
                <a:xfrm>
                  <a:off x="152399" y="417440"/>
                  <a:ext cx="1178961" cy="442129"/>
                </a:xfrm>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944"/>
                        <a:gd name="adj2" fmla="val 119776"/>
                      </a:avLst>
                    </a:prstGeom>
                    <a:noFill/>
                    <a:ln>
                      <a:noFill/>
                    </a:ln>
                  </c15:spPr>
                  <c15:layout>
                    <c:manualLayout>
                      <c:w val="0.33593157820559572"/>
                      <c:h val="0.11648460591020789"/>
                    </c:manualLayout>
                  </c15:layout>
                </c:ext>
                <c:ext xmlns:c16="http://schemas.microsoft.com/office/drawing/2014/chart" uri="{C3380CC4-5D6E-409C-BE32-E72D297353CC}">
                  <c16:uniqueId val="{00000002-E05D-4CD0-999D-E61BC09256C7}"/>
                </c:ext>
              </c:extLst>
            </c:dLbl>
            <c:dLbl>
              <c:idx val="3"/>
              <c:layout>
                <c:manualLayout>
                  <c:x val="0.15538444597713708"/>
                  <c:y val="6.94331883147532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157223534874826"/>
                      <c:h val="0.11362996753288171"/>
                    </c:manualLayout>
                  </c15:layout>
                </c:ext>
                <c:ext xmlns:c16="http://schemas.microsoft.com/office/drawing/2014/chart" uri="{C3380CC4-5D6E-409C-BE32-E72D297353CC}">
                  <c16:uniqueId val="{00000006-D459-4978-A276-B81724255859}"/>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('Budget simplifié'!$A$7,'Budget simplifié'!$A$8,'Budget simplifié'!$A$16,'Budget simplifié'!$A$22)</c:f>
              <c:strCache>
                <c:ptCount val="4"/>
                <c:pt idx="0">
                  <c:v>Subvention FWB</c:v>
                </c:pt>
                <c:pt idx="1">
                  <c:v>Subvention RW</c:v>
                </c:pt>
                <c:pt idx="2">
                  <c:v>Coproductions</c:v>
                </c:pt>
                <c:pt idx="3">
                  <c:v>Recettes propres</c:v>
                </c:pt>
              </c:strCache>
            </c:strRef>
          </c:cat>
          <c:val>
            <c:numRef>
              <c:f>('Budget simplifié'!$D$7,'Budget simplifié'!$D$8,'Budget simplifié'!$D$16,'Budget simplifié'!$D$22)</c:f>
              <c:numCache>
                <c:formatCode>_("€"* #,##0.00_);_("€"* \(#,##0.00\);_("€"* "-"??_);_(@_)</c:formatCode>
                <c:ptCount val="4"/>
                <c:pt idx="0">
                  <c:v>87000</c:v>
                </c:pt>
                <c:pt idx="1">
                  <c:v>59100</c:v>
                </c:pt>
                <c:pt idx="2">
                  <c:v>10000</c:v>
                </c:pt>
                <c:pt idx="3">
                  <c:v>100950</c:v>
                </c:pt>
              </c:numCache>
            </c:numRef>
          </c:val>
          <c:extLst>
            <c:ext xmlns:c16="http://schemas.microsoft.com/office/drawing/2014/chart" uri="{C3380CC4-5D6E-409C-BE32-E72D297353CC}">
              <c16:uniqueId val="{00000000-E05D-4CD0-999D-E61BC09256C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b="1"/>
              <a:t>Produits</a:t>
            </a:r>
            <a:r>
              <a:rPr lang="fr-BE" b="1" baseline="0"/>
              <a:t> 2025</a:t>
            </a:r>
            <a:endParaRPr lang="fr-BE"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455011328144056"/>
          <c:y val="0.1787211048338069"/>
          <c:w val="0.77810395117949971"/>
          <c:h val="0.727036382746300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C02-4EC2-9260-36ED5D936CE2}"/>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8C02-4EC2-9260-36ED5D936CE2}"/>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2-8C02-4EC2-9260-36ED5D936CE2}"/>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6-F39D-4CA3-9E82-7B6EA8FE5569}"/>
              </c:ext>
            </c:extLst>
          </c:dPt>
          <c:dLbls>
            <c:dLbl>
              <c:idx val="0"/>
              <c:layout>
                <c:manualLayout>
                  <c:x val="-0.16207780061844032"/>
                  <c:y val="0.13519708792524313"/>
                </c:manualLayout>
              </c:layout>
              <c:spPr>
                <a:xfrm>
                  <a:off x="2315375" y="560110"/>
                  <a:ext cx="1074759" cy="545818"/>
                </a:xfrm>
                <a:noFill/>
                <a:ln w="952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44619"/>
                        <a:gd name="adj2" fmla="val 227423"/>
                      </a:avLst>
                    </a:prstGeom>
                    <a:noFill/>
                    <a:ln>
                      <a:noFill/>
                    </a:ln>
                  </c15:spPr>
                  <c15:layout>
                    <c:manualLayout>
                      <c:w val="0.3048329824590616"/>
                      <c:h val="0.1446496273392823"/>
                    </c:manualLayout>
                  </c15:layout>
                </c:ext>
                <c:ext xmlns:c16="http://schemas.microsoft.com/office/drawing/2014/chart" uri="{C3380CC4-5D6E-409C-BE32-E72D297353CC}">
                  <c16:uniqueId val="{00000001-8C02-4EC2-9260-36ED5D936CE2}"/>
                </c:ext>
              </c:extLst>
            </c:dLbl>
            <c:dLbl>
              <c:idx val="1"/>
              <c:layout>
                <c:manualLayout>
                  <c:x val="-0.18277298069835698"/>
                  <c:y val="-0.14335564405972026"/>
                </c:manualLayout>
              </c:layout>
              <c:spPr>
                <a:xfrm>
                  <a:off x="244906" y="3129424"/>
                  <a:ext cx="1133899" cy="453457"/>
                </a:xfrm>
                <a:noFill/>
                <a:ln w="952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63975"/>
                        <a:gd name="adj2" fmla="val -104875"/>
                      </a:avLst>
                    </a:prstGeom>
                    <a:noFill/>
                    <a:ln>
                      <a:noFill/>
                    </a:ln>
                  </c15:spPr>
                  <c15:layout>
                    <c:manualLayout>
                      <c:w val="0.32160682882192143"/>
                      <c:h val="0.12017268770013133"/>
                    </c:manualLayout>
                  </c15:layout>
                </c:ext>
                <c:ext xmlns:c16="http://schemas.microsoft.com/office/drawing/2014/chart" uri="{C3380CC4-5D6E-409C-BE32-E72D297353CC}">
                  <c16:uniqueId val="{00000003-8C02-4EC2-9260-36ED5D936CE2}"/>
                </c:ext>
              </c:extLst>
            </c:dLbl>
            <c:dLbl>
              <c:idx val="2"/>
              <c:layout>
                <c:manualLayout>
                  <c:x val="-2.8376920019696064E-2"/>
                  <c:y val="-1.9943177072225669E-2"/>
                </c:manualLayout>
              </c:layout>
              <c:spPr>
                <a:xfrm>
                  <a:off x="152631" y="552674"/>
                  <a:ext cx="1269542" cy="372965"/>
                </a:xfrm>
                <a:noFill/>
                <a:ln w="952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26807"/>
                        <a:gd name="adj2" fmla="val 334780"/>
                      </a:avLst>
                    </a:prstGeom>
                    <a:noFill/>
                    <a:ln>
                      <a:noFill/>
                    </a:ln>
                  </c15:spPr>
                  <c15:layout>
                    <c:manualLayout>
                      <c:w val="0.33186280528449996"/>
                      <c:h val="9.8841355025566874E-2"/>
                    </c:manualLayout>
                  </c15:layout>
                </c:ext>
                <c:ext xmlns:c16="http://schemas.microsoft.com/office/drawing/2014/chart" uri="{C3380CC4-5D6E-409C-BE32-E72D297353CC}">
                  <c16:uniqueId val="{00000002-8C02-4EC2-9260-36ED5D936CE2}"/>
                </c:ext>
              </c:extLst>
            </c:dLbl>
            <c:dLbl>
              <c:idx val="3"/>
              <c:layout>
                <c:manualLayout>
                  <c:x val="0.17274470537194661"/>
                  <c:y val="9.086983629540618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7682509060170757"/>
                      <c:h val="0.11429129556198384"/>
                    </c:manualLayout>
                  </c15:layout>
                </c:ext>
                <c:ext xmlns:c16="http://schemas.microsoft.com/office/drawing/2014/chart" uri="{C3380CC4-5D6E-409C-BE32-E72D297353CC}">
                  <c16:uniqueId val="{00000006-F39D-4CA3-9E82-7B6EA8FE5569}"/>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('Budget simplifié'!$A$7,'Budget simplifié'!$A$8,'Budget simplifié'!$A$16,'Budget simplifié'!$A$22)</c:f>
              <c:strCache>
                <c:ptCount val="4"/>
                <c:pt idx="0">
                  <c:v>Subvention FWB</c:v>
                </c:pt>
                <c:pt idx="1">
                  <c:v>Subvention RW</c:v>
                </c:pt>
                <c:pt idx="2">
                  <c:v>Coproductions</c:v>
                </c:pt>
                <c:pt idx="3">
                  <c:v>Recettes propres</c:v>
                </c:pt>
              </c:strCache>
            </c:strRef>
          </c:cat>
          <c:val>
            <c:numRef>
              <c:f>('Budget simplifié'!$E$7,'Budget simplifié'!$E$8,'Budget simplifié'!$E$16,'Budget simplifié'!$E$22)</c:f>
              <c:numCache>
                <c:formatCode>_("€"* #,##0.00_);_("€"* \(#,##0.00\);_("€"* "-"??_);_(@_)</c:formatCode>
                <c:ptCount val="4"/>
                <c:pt idx="0">
                  <c:v>87000</c:v>
                </c:pt>
                <c:pt idx="1">
                  <c:v>59100</c:v>
                </c:pt>
                <c:pt idx="2">
                  <c:v>30000</c:v>
                </c:pt>
                <c:pt idx="3">
                  <c:v>114350</c:v>
                </c:pt>
              </c:numCache>
            </c:numRef>
          </c:val>
          <c:extLst>
            <c:ext xmlns:c16="http://schemas.microsoft.com/office/drawing/2014/chart" uri="{C3380CC4-5D6E-409C-BE32-E72D297353CC}">
              <c16:uniqueId val="{00000000-8C02-4EC2-9260-36ED5D936CE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b="1"/>
              <a:t>Charges</a:t>
            </a:r>
            <a:r>
              <a:rPr lang="fr-BE" b="1" baseline="0"/>
              <a:t> 2024</a:t>
            </a:r>
            <a:endParaRPr lang="fr-BE"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2-9D38-4A62-9D17-366659C38456}"/>
              </c:ext>
            </c:extLst>
          </c:dPt>
          <c:dPt>
            <c:idx val="1"/>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9D38-4A62-9D17-366659C38456}"/>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9D38-4A62-9D17-366659C38456}"/>
              </c:ext>
            </c:extLst>
          </c:dPt>
          <c:dPt>
            <c:idx val="3"/>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6-9D38-4A62-9D17-366659C38456}"/>
              </c:ext>
            </c:extLst>
          </c:dPt>
          <c:dPt>
            <c:idx val="4"/>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7-9D38-4A62-9D17-366659C38456}"/>
              </c:ext>
            </c:extLst>
          </c:dPt>
          <c:dPt>
            <c:idx val="5"/>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8-9D38-4A62-9D17-366659C38456}"/>
              </c:ext>
            </c:extLst>
          </c:dPt>
          <c:dPt>
            <c:idx val="6"/>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4-9D38-4A62-9D17-366659C38456}"/>
              </c:ext>
            </c:extLst>
          </c:dPt>
          <c:dPt>
            <c:idx val="7"/>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3-9D38-4A62-9D17-366659C38456}"/>
              </c:ext>
            </c:extLst>
          </c:dPt>
          <c:dLbls>
            <c:dLbl>
              <c:idx val="0"/>
              <c:layout>
                <c:manualLayout>
                  <c:x val="-0.13721280268534244"/>
                  <c:y val="7.7422272778830247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1081909138781174"/>
                      <c:h val="0.10507146992455403"/>
                    </c:manualLayout>
                  </c15:layout>
                </c:ext>
                <c:ext xmlns:c16="http://schemas.microsoft.com/office/drawing/2014/chart" uri="{C3380CC4-5D6E-409C-BE32-E72D297353CC}">
                  <c16:uniqueId val="{00000002-9D38-4A62-9D17-366659C38456}"/>
                </c:ext>
              </c:extLst>
            </c:dLbl>
            <c:dLbl>
              <c:idx val="1"/>
              <c:layout>
                <c:manualLayout>
                  <c:x val="0.11328450380583081"/>
                  <c:y val="1.9757499337666337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3976311765550684"/>
                      <c:h val="9.6068008683952696E-2"/>
                    </c:manualLayout>
                  </c15:layout>
                </c:ext>
                <c:ext xmlns:c16="http://schemas.microsoft.com/office/drawing/2014/chart" uri="{C3380CC4-5D6E-409C-BE32-E72D297353CC}">
                  <c16:uniqueId val="{00000001-9D38-4A62-9D17-366659C38456}"/>
                </c:ext>
              </c:extLst>
            </c:dLbl>
            <c:dLbl>
              <c:idx val="2"/>
              <c:layout>
                <c:manualLayout>
                  <c:x val="-0.16982622432859398"/>
                  <c:y val="0.11373516062074664"/>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1579553550559963"/>
                      <c:h val="7.4198270825531432E-2"/>
                    </c:manualLayout>
                  </c15:layout>
                </c:ext>
                <c:ext xmlns:c16="http://schemas.microsoft.com/office/drawing/2014/chart" uri="{C3380CC4-5D6E-409C-BE32-E72D297353CC}">
                  <c16:uniqueId val="{00000005-9D38-4A62-9D17-366659C38456}"/>
                </c:ext>
              </c:extLst>
            </c:dLbl>
            <c:dLbl>
              <c:idx val="3"/>
              <c:layout>
                <c:manualLayout>
                  <c:x val="-0.11086614748379907"/>
                  <c:y val="4.6716087204298283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3424932215145974"/>
                      <c:h val="7.0130655490698135E-2"/>
                    </c:manualLayout>
                  </c15:layout>
                </c:ext>
                <c:ext xmlns:c16="http://schemas.microsoft.com/office/drawing/2014/chart" uri="{C3380CC4-5D6E-409C-BE32-E72D297353CC}">
                  <c16:uniqueId val="{00000006-9D38-4A62-9D17-366659C38456}"/>
                </c:ext>
              </c:extLst>
            </c:dLbl>
            <c:dLbl>
              <c:idx val="4"/>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2709684651547316"/>
                      <c:h val="8.3566700866868251E-2"/>
                    </c:manualLayout>
                  </c15:layout>
                </c:ext>
                <c:ext xmlns:c16="http://schemas.microsoft.com/office/drawing/2014/chart" uri="{C3380CC4-5D6E-409C-BE32-E72D297353CC}">
                  <c16:uniqueId val="{00000007-9D38-4A62-9D17-366659C38456}"/>
                </c:ext>
              </c:extLst>
            </c:dLbl>
            <c:dLbl>
              <c:idx val="5"/>
              <c:layout>
                <c:manualLayout>
                  <c:x val="-0.19669793699905352"/>
                  <c:y val="-9.4907855560359813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3067308433346645"/>
                      <c:h val="8.0879491791634228E-2"/>
                    </c:manualLayout>
                  </c15:layout>
                </c:ext>
                <c:ext xmlns:c16="http://schemas.microsoft.com/office/drawing/2014/chart" uri="{C3380CC4-5D6E-409C-BE32-E72D297353CC}">
                  <c16:uniqueId val="{00000008-9D38-4A62-9D17-366659C38456}"/>
                </c:ext>
              </c:extLst>
            </c:dLbl>
            <c:dLbl>
              <c:idx val="6"/>
              <c:layout>
                <c:manualLayout>
                  <c:x val="0.18625511984329293"/>
                  <c:y val="-8.160028892254271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3725357490664256"/>
                      <c:h val="7.2016145259943043E-2"/>
                    </c:manualLayout>
                  </c15:layout>
                </c:ext>
                <c:ext xmlns:c16="http://schemas.microsoft.com/office/drawing/2014/chart" uri="{C3380CC4-5D6E-409C-BE32-E72D297353CC}">
                  <c16:uniqueId val="{00000004-9D38-4A62-9D17-366659C38456}"/>
                </c:ext>
              </c:extLst>
            </c:dLbl>
            <c:dLbl>
              <c:idx val="7"/>
              <c:layout>
                <c:manualLayout>
                  <c:x val="0.16482630351480415"/>
                  <c:y val="0.1152967691935434"/>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26581039342436158"/>
                      <c:h val="7.9370700430450761E-2"/>
                    </c:manualLayout>
                  </c15:layout>
                </c:ext>
                <c:ext xmlns:c16="http://schemas.microsoft.com/office/drawing/2014/chart" uri="{C3380CC4-5D6E-409C-BE32-E72D297353CC}">
                  <c16:uniqueId val="{00000003-9D38-4A62-9D17-366659C3845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'Budget simplifié'!$K$36:$K$43</c:f>
              <c:strCache>
                <c:ptCount val="8"/>
                <c:pt idx="0">
                  <c:v>Infrastructure</c:v>
                </c:pt>
                <c:pt idx="1">
                  <c:v>Fonctionnment</c:v>
                </c:pt>
                <c:pt idx="2">
                  <c:v>Activité</c:v>
                </c:pt>
                <c:pt idx="3">
                  <c:v>Sal. Fonct.</c:v>
                </c:pt>
                <c:pt idx="4">
                  <c:v>Sal. Rel. Publ.</c:v>
                </c:pt>
                <c:pt idx="5">
                  <c:v>Sal. Activité</c:v>
                </c:pt>
                <c:pt idx="6">
                  <c:v>Sal. Artistique</c:v>
                </c:pt>
                <c:pt idx="7">
                  <c:v>Sal. Art. techn.</c:v>
                </c:pt>
              </c:strCache>
            </c:strRef>
          </c:cat>
          <c:val>
            <c:numRef>
              <c:f>'Budget simplifié'!$M$36:$M$43</c:f>
              <c:numCache>
                <c:formatCode>_("€"* #,##0.00_);_("€"* \(#,##0.00\);_("€"* "-"??_);_(@_)</c:formatCode>
                <c:ptCount val="8"/>
                <c:pt idx="0">
                  <c:v>3000</c:v>
                </c:pt>
                <c:pt idx="1">
                  <c:v>4000</c:v>
                </c:pt>
                <c:pt idx="2">
                  <c:v>26050</c:v>
                </c:pt>
                <c:pt idx="3">
                  <c:v>26000</c:v>
                </c:pt>
                <c:pt idx="4">
                  <c:v>23000</c:v>
                </c:pt>
                <c:pt idx="5">
                  <c:v>26000</c:v>
                </c:pt>
                <c:pt idx="6">
                  <c:v>104700</c:v>
                </c:pt>
                <c:pt idx="7">
                  <c:v>26000</c:v>
                </c:pt>
              </c:numCache>
            </c:numRef>
          </c:val>
          <c:extLst>
            <c:ext xmlns:c16="http://schemas.microsoft.com/office/drawing/2014/chart" uri="{C3380CC4-5D6E-409C-BE32-E72D297353CC}">
              <c16:uniqueId val="{00000000-9D38-4A62-9D17-366659C3845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b="1"/>
              <a:t>Charges 2025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E2DC-4E0F-A6FA-8A528367B4BD}"/>
              </c:ext>
            </c:extLst>
          </c:dPt>
          <c:dPt>
            <c:idx val="1"/>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2-E2DC-4E0F-A6FA-8A528367B4BD}"/>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3-E2DC-4E0F-A6FA-8A528367B4BD}"/>
              </c:ext>
            </c:extLst>
          </c:dPt>
          <c:dPt>
            <c:idx val="3"/>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4-E2DC-4E0F-A6FA-8A528367B4BD}"/>
              </c:ext>
            </c:extLst>
          </c:dPt>
          <c:dPt>
            <c:idx val="4"/>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5-E2DC-4E0F-A6FA-8A528367B4BD}"/>
              </c:ext>
            </c:extLst>
          </c:dPt>
          <c:dPt>
            <c:idx val="5"/>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6-E2DC-4E0F-A6FA-8A528367B4BD}"/>
              </c:ext>
            </c:extLst>
          </c:dPt>
          <c:dPt>
            <c:idx val="6"/>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7-E2DC-4E0F-A6FA-8A528367B4BD}"/>
              </c:ext>
            </c:extLst>
          </c:dPt>
          <c:dPt>
            <c:idx val="7"/>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8-E2DC-4E0F-A6FA-8A528367B4BD}"/>
              </c:ext>
            </c:extLst>
          </c:dPt>
          <c:dLbls>
            <c:dLbl>
              <c:idx val="0"/>
              <c:layout>
                <c:manualLayout>
                  <c:x val="-0.16165722558297019"/>
                  <c:y val="-1.5405583974529267E-2"/>
                </c:manualLayout>
              </c:layout>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318249474295794"/>
                      <c:h val="7.2836542446705815E-2"/>
                    </c:manualLayout>
                  </c15:layout>
                </c:ext>
                <c:ext xmlns:c16="http://schemas.microsoft.com/office/drawing/2014/chart" uri="{C3380CC4-5D6E-409C-BE32-E72D297353CC}">
                  <c16:uniqueId val="{00000001-E2DC-4E0F-A6FA-8A528367B4BD}"/>
                </c:ext>
              </c:extLst>
            </c:dLbl>
            <c:dLbl>
              <c:idx val="1"/>
              <c:layout>
                <c:manualLayout>
                  <c:x val="0.16165722558297019"/>
                  <c:y val="-1.4121776886054132E-2"/>
                </c:manualLayout>
              </c:layout>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4262161347205777"/>
                      <c:h val="7.0268928269755573E-2"/>
                    </c:manualLayout>
                  </c15:layout>
                </c:ext>
                <c:ext xmlns:c16="http://schemas.microsoft.com/office/drawing/2014/chart" uri="{C3380CC4-5D6E-409C-BE32-E72D297353CC}">
                  <c16:uniqueId val="{00000002-E2DC-4E0F-A6FA-8A528367B4BD}"/>
                </c:ext>
              </c:extLst>
            </c:dLbl>
            <c:dLbl>
              <c:idx val="2"/>
              <c:layout>
                <c:manualLayout>
                  <c:x val="-0.21554277799160071"/>
                  <c:y val="0.12599968645606971"/>
                </c:manualLayout>
              </c:layout>
              <c:showLegendKey val="0"/>
              <c:showVal val="0"/>
              <c:showCatName val="1"/>
              <c:showSerName val="0"/>
              <c:showPercent val="1"/>
              <c:showBubbleSize val="0"/>
              <c:extLst>
                <c:ext xmlns:c15="http://schemas.microsoft.com/office/drawing/2012/chart" uri="{CE6537A1-D6FC-4f65-9D91-7224C49458BB}">
                  <c15:layout>
                    <c:manualLayout>
                      <c:w val="0.22554365197674395"/>
                      <c:h val="7.2345678960688567E-2"/>
                    </c:manualLayout>
                  </c15:layout>
                </c:ext>
                <c:ext xmlns:c16="http://schemas.microsoft.com/office/drawing/2014/chart" uri="{C3380CC4-5D6E-409C-BE32-E72D297353CC}">
                  <c16:uniqueId val="{00000003-E2DC-4E0F-A6FA-8A528367B4BD}"/>
                </c:ext>
              </c:extLst>
            </c:dLbl>
            <c:dLbl>
              <c:idx val="3"/>
              <c:layout>
                <c:manualLayout>
                  <c:x val="-9.6994193917388768E-2"/>
                  <c:y val="1.3114544301048921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2464497603268058"/>
                      <c:h val="6.4932277462045468E-2"/>
                    </c:manualLayout>
                  </c15:layout>
                </c:ext>
                <c:ext xmlns:c16="http://schemas.microsoft.com/office/drawing/2014/chart" uri="{C3380CC4-5D6E-409C-BE32-E72D297353CC}">
                  <c16:uniqueId val="{00000004-E2DC-4E0F-A6FA-8A528367B4BD}"/>
                </c:ext>
              </c:extLst>
            </c:dLbl>
            <c:dLbl>
              <c:idx val="4"/>
              <c:layout>
                <c:manualLayout>
                  <c:x val="-5.9872009341326846E-2"/>
                  <c:y val="-3.9213836973886758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964906663106342"/>
                      <c:h val="8.0361673728616509E-2"/>
                    </c:manualLayout>
                  </c15:layout>
                </c:ext>
                <c:ext xmlns:c16="http://schemas.microsoft.com/office/drawing/2014/chart" uri="{C3380CC4-5D6E-409C-BE32-E72D297353CC}">
                  <c16:uniqueId val="{00000005-E2DC-4E0F-A6FA-8A528367B4BD}"/>
                </c:ext>
              </c:extLst>
            </c:dLbl>
            <c:dLbl>
              <c:idx val="5"/>
              <c:layout>
                <c:manualLayout>
                  <c:x val="-0.18680362225331221"/>
                  <c:y val="-0.10651416977537194"/>
                </c:manualLayout>
              </c:layout>
              <c:showLegendKey val="0"/>
              <c:showVal val="0"/>
              <c:showCatName val="1"/>
              <c:showSerName val="0"/>
              <c:showPercent val="1"/>
              <c:showBubbleSize val="0"/>
              <c:extLst>
                <c:ext xmlns:c15="http://schemas.microsoft.com/office/drawing/2012/chart" uri="{CE6537A1-D6FC-4f65-9D91-7224C49458BB}">
                  <c15:layout>
                    <c:manualLayout>
                      <c:w val="0.22913801482098337"/>
                      <c:h val="8.2973611972073633E-2"/>
                    </c:manualLayout>
                  </c15:layout>
                </c:ext>
                <c:ext xmlns:c16="http://schemas.microsoft.com/office/drawing/2014/chart" uri="{C3380CC4-5D6E-409C-BE32-E72D297353CC}">
                  <c16:uniqueId val="{00000006-E2DC-4E0F-A6FA-8A528367B4BD}"/>
                </c:ext>
              </c:extLst>
            </c:dLbl>
            <c:dLbl>
              <c:idx val="6"/>
              <c:layout>
                <c:manualLayout>
                  <c:x val="0.23628115219475071"/>
                  <c:y val="-9.7934424622107497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30205679439632949"/>
                      <c:h val="8.5668363811709322E-2"/>
                    </c:manualLayout>
                  </c15:layout>
                </c:ext>
                <c:ext xmlns:c16="http://schemas.microsoft.com/office/drawing/2014/chart" uri="{C3380CC4-5D6E-409C-BE32-E72D297353CC}">
                  <c16:uniqueId val="{00000007-E2DC-4E0F-A6FA-8A528367B4BD}"/>
                </c:ext>
              </c:extLst>
            </c:dLbl>
            <c:dLbl>
              <c:idx val="7"/>
              <c:layout>
                <c:manualLayout>
                  <c:x val="0.14189940309872709"/>
                  <c:y val="0.1073478041642254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6774396663553268"/>
                      <c:h val="7.2639018111990833E-2"/>
                    </c:manualLayout>
                  </c15:layout>
                </c:ext>
                <c:ext xmlns:c16="http://schemas.microsoft.com/office/drawing/2014/chart" uri="{C3380CC4-5D6E-409C-BE32-E72D297353CC}">
                  <c16:uniqueId val="{00000008-E2DC-4E0F-A6FA-8A528367B4BD}"/>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'Budget simplifié'!$K$36:$K$43</c:f>
              <c:strCache>
                <c:ptCount val="8"/>
                <c:pt idx="0">
                  <c:v>Infrastructure</c:v>
                </c:pt>
                <c:pt idx="1">
                  <c:v>Fonctionnment</c:v>
                </c:pt>
                <c:pt idx="2">
                  <c:v>Activité</c:v>
                </c:pt>
                <c:pt idx="3">
                  <c:v>Sal. Fonct.</c:v>
                </c:pt>
                <c:pt idx="4">
                  <c:v>Sal. Rel. Publ.</c:v>
                </c:pt>
                <c:pt idx="5">
                  <c:v>Sal. Activité</c:v>
                </c:pt>
                <c:pt idx="6">
                  <c:v>Sal. Artistique</c:v>
                </c:pt>
                <c:pt idx="7">
                  <c:v>Sal. Art. techn.</c:v>
                </c:pt>
              </c:strCache>
            </c:strRef>
          </c:cat>
          <c:val>
            <c:numRef>
              <c:f>'Budget simplifié'!$N$36:$N$43</c:f>
              <c:numCache>
                <c:formatCode>_("€"* #,##0.00_);_("€"* \(#,##0.00\);_("€"* "-"??_);_(@_)</c:formatCode>
                <c:ptCount val="8"/>
                <c:pt idx="0">
                  <c:v>3000</c:v>
                </c:pt>
                <c:pt idx="1">
                  <c:v>10000</c:v>
                </c:pt>
                <c:pt idx="2">
                  <c:v>43870</c:v>
                </c:pt>
                <c:pt idx="3">
                  <c:v>26520</c:v>
                </c:pt>
                <c:pt idx="4">
                  <c:v>23460</c:v>
                </c:pt>
                <c:pt idx="5">
                  <c:v>26520</c:v>
                </c:pt>
                <c:pt idx="6">
                  <c:v>148860.00153846154</c:v>
                </c:pt>
                <c:pt idx="7">
                  <c:v>26520</c:v>
                </c:pt>
              </c:numCache>
            </c:numRef>
          </c:val>
          <c:extLst>
            <c:ext xmlns:c16="http://schemas.microsoft.com/office/drawing/2014/chart" uri="{C3380CC4-5D6E-409C-BE32-E72D297353CC}">
              <c16:uniqueId val="{00000000-E2DC-4E0F-A6FA-8A528367B4B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b="1"/>
              <a:t>Charges 2024-2028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1-FA43-4090-994B-ADEBD84E6B55}"/>
              </c:ext>
            </c:extLst>
          </c:dPt>
          <c:dPt>
            <c:idx val="1"/>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3-FA43-4090-994B-ADEBD84E6B55}"/>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FA43-4090-994B-ADEBD84E6B55}"/>
              </c:ext>
            </c:extLst>
          </c:dPt>
          <c:dPt>
            <c:idx val="3"/>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7-FA43-4090-994B-ADEBD84E6B55}"/>
              </c:ext>
            </c:extLst>
          </c:dPt>
          <c:dPt>
            <c:idx val="4"/>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9-FA43-4090-994B-ADEBD84E6B55}"/>
              </c:ext>
            </c:extLst>
          </c:dPt>
          <c:dPt>
            <c:idx val="5"/>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B-FA43-4090-994B-ADEBD84E6B55}"/>
              </c:ext>
            </c:extLst>
          </c:dPt>
          <c:dPt>
            <c:idx val="6"/>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D-FA43-4090-994B-ADEBD84E6B55}"/>
              </c:ext>
            </c:extLst>
          </c:dPt>
          <c:dPt>
            <c:idx val="7"/>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F-FA43-4090-994B-ADEBD84E6B55}"/>
              </c:ext>
            </c:extLst>
          </c:dPt>
          <c:dLbls>
            <c:dLbl>
              <c:idx val="0"/>
              <c:layout>
                <c:manualLayout>
                  <c:x val="-0.1380605920136217"/>
                  <c:y val="-1.5405556940988174E-2"/>
                </c:manualLayout>
              </c:layout>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7901821456827641"/>
                      <c:h val="7.2836596513788002E-2"/>
                    </c:manualLayout>
                  </c15:layout>
                </c:ext>
                <c:ext xmlns:c16="http://schemas.microsoft.com/office/drawing/2014/chart" uri="{C3380CC4-5D6E-409C-BE32-E72D297353CC}">
                  <c16:uniqueId val="{00000001-FA43-4090-994B-ADEBD84E6B55}"/>
                </c:ext>
              </c:extLst>
            </c:dLbl>
            <c:dLbl>
              <c:idx val="1"/>
              <c:layout>
                <c:manualLayout>
                  <c:x val="0.18525388662399911"/>
                  <c:y val="-1.4121789901797566E-2"/>
                </c:manualLayout>
              </c:layout>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8981493555411564"/>
                      <c:h val="7.0268902238268705E-2"/>
                    </c:manualLayout>
                  </c15:layout>
                </c:ext>
                <c:ext xmlns:c16="http://schemas.microsoft.com/office/drawing/2014/chart" uri="{C3380CC4-5D6E-409C-BE32-E72D297353CC}">
                  <c16:uniqueId val="{00000003-FA43-4090-994B-ADEBD84E6B55}"/>
                </c:ext>
              </c:extLst>
            </c:dLbl>
            <c:dLbl>
              <c:idx val="2"/>
              <c:layout>
                <c:manualLayout>
                  <c:x val="-0.21554277799160071"/>
                  <c:y val="0.12599968645606971"/>
                </c:manualLayout>
              </c:layout>
              <c:showLegendKey val="0"/>
              <c:showVal val="0"/>
              <c:showCatName val="1"/>
              <c:showSerName val="0"/>
              <c:showPercent val="1"/>
              <c:showBubbleSize val="0"/>
              <c:extLst>
                <c:ext xmlns:c15="http://schemas.microsoft.com/office/drawing/2012/chart" uri="{CE6537A1-D6FC-4f65-9D91-7224C49458BB}">
                  <c15:layout>
                    <c:manualLayout>
                      <c:w val="0.22554365197674395"/>
                      <c:h val="7.2345678960688567E-2"/>
                    </c:manualLayout>
                  </c15:layout>
                </c:ext>
                <c:ext xmlns:c16="http://schemas.microsoft.com/office/drawing/2014/chart" uri="{C3380CC4-5D6E-409C-BE32-E72D297353CC}">
                  <c16:uniqueId val="{00000005-FA43-4090-994B-ADEBD84E6B55}"/>
                </c:ext>
              </c:extLst>
            </c:dLbl>
            <c:dLbl>
              <c:idx val="3"/>
              <c:layout>
                <c:manualLayout>
                  <c:x val="-9.6994193917388768E-2"/>
                  <c:y val="1.3114544301048921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2464497603268058"/>
                      <c:h val="6.4932277462045468E-2"/>
                    </c:manualLayout>
                  </c15:layout>
                </c:ext>
                <c:ext xmlns:c16="http://schemas.microsoft.com/office/drawing/2014/chart" uri="{C3380CC4-5D6E-409C-BE32-E72D297353CC}">
                  <c16:uniqueId val="{00000007-FA43-4090-994B-ADEBD84E6B55}"/>
                </c:ext>
              </c:extLst>
            </c:dLbl>
            <c:dLbl>
              <c:idx val="4"/>
              <c:layout>
                <c:manualLayout>
                  <c:x val="-5.9872009341326846E-2"/>
                  <c:y val="-3.9213836973886758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964906663106342"/>
                      <c:h val="8.0361673728616509E-2"/>
                    </c:manualLayout>
                  </c15:layout>
                </c:ext>
                <c:ext xmlns:c16="http://schemas.microsoft.com/office/drawing/2014/chart" uri="{C3380CC4-5D6E-409C-BE32-E72D297353CC}">
                  <c16:uniqueId val="{00000009-FA43-4090-994B-ADEBD84E6B55}"/>
                </c:ext>
              </c:extLst>
            </c:dLbl>
            <c:dLbl>
              <c:idx val="5"/>
              <c:layout>
                <c:manualLayout>
                  <c:x val="-0.18680362225331221"/>
                  <c:y val="-0.10651416977537194"/>
                </c:manualLayout>
              </c:layout>
              <c:showLegendKey val="0"/>
              <c:showVal val="0"/>
              <c:showCatName val="1"/>
              <c:showSerName val="0"/>
              <c:showPercent val="1"/>
              <c:showBubbleSize val="0"/>
              <c:extLst>
                <c:ext xmlns:c15="http://schemas.microsoft.com/office/drawing/2012/chart" uri="{CE6537A1-D6FC-4f65-9D91-7224C49458BB}">
                  <c15:layout>
                    <c:manualLayout>
                      <c:w val="0.22913801482098337"/>
                      <c:h val="8.2973611972073633E-2"/>
                    </c:manualLayout>
                  </c15:layout>
                </c:ext>
                <c:ext xmlns:c16="http://schemas.microsoft.com/office/drawing/2014/chart" uri="{C3380CC4-5D6E-409C-BE32-E72D297353CC}">
                  <c16:uniqueId val="{0000000B-FA43-4090-994B-ADEBD84E6B55}"/>
                </c:ext>
              </c:extLst>
            </c:dLbl>
            <c:dLbl>
              <c:idx val="6"/>
              <c:layout>
                <c:manualLayout>
                  <c:x val="0.16545501963070888"/>
                  <c:y val="-9.661736078360201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8911395945756951"/>
                      <c:h val="7.7790086026449656E-2"/>
                    </c:manualLayout>
                  </c15:layout>
                </c:ext>
                <c:ext xmlns:c16="http://schemas.microsoft.com/office/drawing/2014/chart" uri="{C3380CC4-5D6E-409C-BE32-E72D297353CC}">
                  <c16:uniqueId val="{0000000D-FA43-4090-994B-ADEBD84E6B55}"/>
                </c:ext>
              </c:extLst>
            </c:dLbl>
            <c:dLbl>
              <c:idx val="7"/>
              <c:layout>
                <c:manualLayout>
                  <c:x val="0.16120572985765261"/>
                  <c:y val="0.10734778017874744"/>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30635662015338372"/>
                      <c:h val="7.2638970141034875E-2"/>
                    </c:manualLayout>
                  </c15:layout>
                </c:ext>
                <c:ext xmlns:c16="http://schemas.microsoft.com/office/drawing/2014/chart" uri="{C3380CC4-5D6E-409C-BE32-E72D297353CC}">
                  <c16:uniqueId val="{0000000F-FA43-4090-994B-ADEBD84E6B55}"/>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'Budget simplifié'!$K$36:$K$43</c:f>
              <c:strCache>
                <c:ptCount val="8"/>
                <c:pt idx="0">
                  <c:v>Infrastructure</c:v>
                </c:pt>
                <c:pt idx="1">
                  <c:v>Fonctionnment</c:v>
                </c:pt>
                <c:pt idx="2">
                  <c:v>Activité</c:v>
                </c:pt>
                <c:pt idx="3">
                  <c:v>Sal. Fonct.</c:v>
                </c:pt>
                <c:pt idx="4">
                  <c:v>Sal. Rel. Publ.</c:v>
                </c:pt>
                <c:pt idx="5">
                  <c:v>Sal. Activité</c:v>
                </c:pt>
                <c:pt idx="6">
                  <c:v>Sal. Artistique</c:v>
                </c:pt>
                <c:pt idx="7">
                  <c:v>Sal. Art. techn.</c:v>
                </c:pt>
              </c:strCache>
            </c:strRef>
          </c:cat>
          <c:val>
            <c:numRef>
              <c:f>'Budget simplifié'!$R$36:$R$43</c:f>
              <c:numCache>
                <c:formatCode>_("€"* #,##0.00_);_("€"* \(#,##0.00\);_("€"* "-"??_);_(@_)</c:formatCode>
                <c:ptCount val="8"/>
                <c:pt idx="0">
                  <c:v>15000</c:v>
                </c:pt>
                <c:pt idx="1">
                  <c:v>44000</c:v>
                </c:pt>
                <c:pt idx="2">
                  <c:v>190970</c:v>
                </c:pt>
                <c:pt idx="3">
                  <c:v>135305.04415999999</c:v>
                </c:pt>
                <c:pt idx="4">
                  <c:v>119692.92367999999</c:v>
                </c:pt>
                <c:pt idx="5">
                  <c:v>135305.04415999999</c:v>
                </c:pt>
                <c:pt idx="6">
                  <c:v>550400.4303138461</c:v>
                </c:pt>
                <c:pt idx="7">
                  <c:v>135305.04415999999</c:v>
                </c:pt>
              </c:numCache>
            </c:numRef>
          </c:val>
          <c:extLst>
            <c:ext xmlns:c16="http://schemas.microsoft.com/office/drawing/2014/chart" uri="{C3380CC4-5D6E-409C-BE32-E72D297353CC}">
              <c16:uniqueId val="{00000010-FA43-4090-994B-ADEBD84E6B5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69003</xdr:colOff>
      <xdr:row>252</xdr:row>
      <xdr:rowOff>97421</xdr:rowOff>
    </xdr:from>
    <xdr:to>
      <xdr:col>3</xdr:col>
      <xdr:colOff>3639183</xdr:colOff>
      <xdr:row>273</xdr:row>
      <xdr:rowOff>71226</xdr:rowOff>
    </xdr:to>
    <xdr:graphicFrame macro="">
      <xdr:nvGraphicFramePr>
        <xdr:cNvPr id="2" name="Graphique 1">
          <a:extLst>
            <a:ext uri="{FF2B5EF4-FFF2-40B4-BE49-F238E27FC236}">
              <a16:creationId xmlns:a16="http://schemas.microsoft.com/office/drawing/2014/main" id="{DF51F10C-8B4B-4A47-A426-557617B10D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4149247</xdr:colOff>
      <xdr:row>252</xdr:row>
      <xdr:rowOff>163461</xdr:rowOff>
    </xdr:from>
    <xdr:to>
      <xdr:col>4</xdr:col>
      <xdr:colOff>1020815</xdr:colOff>
      <xdr:row>273</xdr:row>
      <xdr:rowOff>199920</xdr:rowOff>
    </xdr:to>
    <xdr:graphicFrame macro="">
      <xdr:nvGraphicFramePr>
        <xdr:cNvPr id="3" name="Graphique 2">
          <a:extLst>
            <a:ext uri="{FF2B5EF4-FFF2-40B4-BE49-F238E27FC236}">
              <a16:creationId xmlns:a16="http://schemas.microsoft.com/office/drawing/2014/main" id="{3A71D388-459B-453E-8830-260DE662C8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97155</xdr:colOff>
      <xdr:row>183</xdr:row>
      <xdr:rowOff>93345</xdr:rowOff>
    </xdr:from>
    <xdr:to>
      <xdr:col>3</xdr:col>
      <xdr:colOff>3362112</xdr:colOff>
      <xdr:row>205</xdr:row>
      <xdr:rowOff>117053</xdr:rowOff>
    </xdr:to>
    <xdr:graphicFrame macro="">
      <xdr:nvGraphicFramePr>
        <xdr:cNvPr id="2" name="Graphique 1">
          <a:extLst>
            <a:ext uri="{FF2B5EF4-FFF2-40B4-BE49-F238E27FC236}">
              <a16:creationId xmlns:a16="http://schemas.microsoft.com/office/drawing/2014/main" id="{ADC1F083-DC29-4B95-8EF9-075ACA6346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3785869</xdr:colOff>
      <xdr:row>183</xdr:row>
      <xdr:rowOff>103929</xdr:rowOff>
    </xdr:from>
    <xdr:to>
      <xdr:col>6</xdr:col>
      <xdr:colOff>529801</xdr:colOff>
      <xdr:row>205</xdr:row>
      <xdr:rowOff>105411</xdr:rowOff>
    </xdr:to>
    <xdr:graphicFrame macro="">
      <xdr:nvGraphicFramePr>
        <xdr:cNvPr id="3" name="Graphique 2">
          <a:extLst>
            <a:ext uri="{FF2B5EF4-FFF2-40B4-BE49-F238E27FC236}">
              <a16:creationId xmlns:a16="http://schemas.microsoft.com/office/drawing/2014/main" id="{D182BB33-DFFA-4360-B598-0D5D5BD693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424</xdr:colOff>
      <xdr:row>43</xdr:row>
      <xdr:rowOff>37252</xdr:rowOff>
    </xdr:from>
    <xdr:to>
      <xdr:col>3</xdr:col>
      <xdr:colOff>171661</xdr:colOff>
      <xdr:row>65</xdr:row>
      <xdr:rowOff>96944</xdr:rowOff>
    </xdr:to>
    <xdr:graphicFrame macro="">
      <xdr:nvGraphicFramePr>
        <xdr:cNvPr id="2" name="Graphique 1">
          <a:extLst>
            <a:ext uri="{FF2B5EF4-FFF2-40B4-BE49-F238E27FC236}">
              <a16:creationId xmlns:a16="http://schemas.microsoft.com/office/drawing/2014/main" id="{DC422768-A655-0862-793B-140B84E043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288714</xdr:colOff>
      <xdr:row>43</xdr:row>
      <xdr:rowOff>7832</xdr:rowOff>
    </xdr:from>
    <xdr:to>
      <xdr:col>5</xdr:col>
      <xdr:colOff>683895</xdr:colOff>
      <xdr:row>65</xdr:row>
      <xdr:rowOff>59055</xdr:rowOff>
    </xdr:to>
    <xdr:graphicFrame macro="">
      <xdr:nvGraphicFramePr>
        <xdr:cNvPr id="3" name="Graphique 2">
          <a:extLst>
            <a:ext uri="{FF2B5EF4-FFF2-40B4-BE49-F238E27FC236}">
              <a16:creationId xmlns:a16="http://schemas.microsoft.com/office/drawing/2014/main" id="{930BF871-5E11-4671-DC7C-61759194BF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276012</xdr:colOff>
      <xdr:row>43</xdr:row>
      <xdr:rowOff>48260</xdr:rowOff>
    </xdr:from>
    <xdr:to>
      <xdr:col>11</xdr:col>
      <xdr:colOff>394120</xdr:colOff>
      <xdr:row>71</xdr:row>
      <xdr:rowOff>16722</xdr:rowOff>
    </xdr:to>
    <xdr:graphicFrame macro="">
      <xdr:nvGraphicFramePr>
        <xdr:cNvPr id="5" name="Graphique 4">
          <a:extLst>
            <a:ext uri="{FF2B5EF4-FFF2-40B4-BE49-F238E27FC236}">
              <a16:creationId xmlns:a16="http://schemas.microsoft.com/office/drawing/2014/main" id="{65E6D109-DF9C-4BDA-7C64-AB5FD5837C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449366</xdr:colOff>
      <xdr:row>43</xdr:row>
      <xdr:rowOff>40005</xdr:rowOff>
    </xdr:from>
    <xdr:to>
      <xdr:col>15</xdr:col>
      <xdr:colOff>216958</xdr:colOff>
      <xdr:row>71</xdr:row>
      <xdr:rowOff>67946</xdr:rowOff>
    </xdr:to>
    <xdr:graphicFrame macro="">
      <xdr:nvGraphicFramePr>
        <xdr:cNvPr id="6" name="Graphique 5">
          <a:extLst>
            <a:ext uri="{FF2B5EF4-FFF2-40B4-BE49-F238E27FC236}">
              <a16:creationId xmlns:a16="http://schemas.microsoft.com/office/drawing/2014/main" id="{55001BD5-6CC1-217A-29A5-B4C961E499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43</xdr:row>
      <xdr:rowOff>0</xdr:rowOff>
    </xdr:from>
    <xdr:to>
      <xdr:col>19</xdr:col>
      <xdr:colOff>356023</xdr:colOff>
      <xdr:row>71</xdr:row>
      <xdr:rowOff>26036</xdr:rowOff>
    </xdr:to>
    <xdr:graphicFrame macro="">
      <xdr:nvGraphicFramePr>
        <xdr:cNvPr id="4" name="Graphique 3">
          <a:extLst>
            <a:ext uri="{FF2B5EF4-FFF2-40B4-BE49-F238E27FC236}">
              <a16:creationId xmlns:a16="http://schemas.microsoft.com/office/drawing/2014/main" id="{2952BA92-A6B8-43D0-990A-7C4D89DAFB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476250</xdr:colOff>
      <xdr:row>43</xdr:row>
      <xdr:rowOff>0</xdr:rowOff>
    </xdr:from>
    <xdr:to>
      <xdr:col>8</xdr:col>
      <xdr:colOff>879051</xdr:colOff>
      <xdr:row>65</xdr:row>
      <xdr:rowOff>47413</xdr:rowOff>
    </xdr:to>
    <xdr:graphicFrame macro="">
      <xdr:nvGraphicFramePr>
        <xdr:cNvPr id="7" name="Graphique 6">
          <a:extLst>
            <a:ext uri="{FF2B5EF4-FFF2-40B4-BE49-F238E27FC236}">
              <a16:creationId xmlns:a16="http://schemas.microsoft.com/office/drawing/2014/main" id="{EE786354-5CF2-4FAB-B01D-7BB73754F5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780097</xdr:colOff>
      <xdr:row>16</xdr:row>
      <xdr:rowOff>168591</xdr:rowOff>
    </xdr:from>
    <xdr:to>
      <xdr:col>22</xdr:col>
      <xdr:colOff>428624</xdr:colOff>
      <xdr:row>39</xdr:row>
      <xdr:rowOff>133350</xdr:rowOff>
    </xdr:to>
    <xdr:graphicFrame macro="">
      <xdr:nvGraphicFramePr>
        <xdr:cNvPr id="8" name="Graphique 7">
          <a:extLst>
            <a:ext uri="{FF2B5EF4-FFF2-40B4-BE49-F238E27FC236}">
              <a16:creationId xmlns:a16="http://schemas.microsoft.com/office/drawing/2014/main" id="{3A74B55D-E5C2-90AE-6E5D-F42597A3B3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748665</xdr:colOff>
      <xdr:row>17</xdr:row>
      <xdr:rowOff>53340</xdr:rowOff>
    </xdr:from>
    <xdr:to>
      <xdr:col>27</xdr:col>
      <xdr:colOff>38100</xdr:colOff>
      <xdr:row>41</xdr:row>
      <xdr:rowOff>76200</xdr:rowOff>
    </xdr:to>
    <xdr:graphicFrame macro="">
      <xdr:nvGraphicFramePr>
        <xdr:cNvPr id="9" name="Graphique 8">
          <a:extLst>
            <a:ext uri="{FF2B5EF4-FFF2-40B4-BE49-F238E27FC236}">
              <a16:creationId xmlns:a16="http://schemas.microsoft.com/office/drawing/2014/main" id="{1D16D71D-3E81-4927-85BE-6FE5A4F4E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9BD7C-62DC-4737-ABEA-D43740F5515F}">
  <sheetPr>
    <pageSetUpPr fitToPage="1"/>
  </sheetPr>
  <dimension ref="A1:H18"/>
  <sheetViews>
    <sheetView workbookViewId="0">
      <selection sqref="A1:H1"/>
    </sheetView>
    <sheetView workbookViewId="1">
      <selection sqref="A1:H1"/>
    </sheetView>
  </sheetViews>
  <sheetFormatPr baseColWidth="10" defaultRowHeight="13.2"/>
  <cols>
    <col min="1" max="1" width="11.109375" style="618" customWidth="1"/>
    <col min="2" max="16384" width="11.5546875" style="618"/>
  </cols>
  <sheetData>
    <row r="1" spans="1:8" ht="21">
      <c r="A1" s="1176" t="s">
        <v>477</v>
      </c>
      <c r="B1" s="1177"/>
      <c r="C1" s="1177"/>
      <c r="D1" s="1177"/>
      <c r="E1" s="1177"/>
      <c r="F1" s="1177"/>
      <c r="G1" s="1177"/>
      <c r="H1" s="1177"/>
    </row>
    <row r="2" spans="1:8" ht="21">
      <c r="A2" s="801"/>
      <c r="B2" s="802"/>
      <c r="C2" s="802"/>
      <c r="D2" s="802"/>
      <c r="E2" s="802"/>
      <c r="F2" s="802"/>
      <c r="G2" s="802"/>
      <c r="H2" s="802"/>
    </row>
    <row r="3" spans="1:8" ht="63" customHeight="1">
      <c r="A3" s="1178" t="s">
        <v>478</v>
      </c>
      <c r="B3" s="1178"/>
      <c r="C3" s="1178"/>
      <c r="D3" s="1178"/>
      <c r="E3" s="1178"/>
      <c r="F3" s="1178"/>
      <c r="G3" s="1178"/>
      <c r="H3" s="1178"/>
    </row>
    <row r="4" spans="1:8" ht="21" customHeight="1">
      <c r="A4" s="1179"/>
      <c r="B4" s="1179"/>
      <c r="C4" s="1179"/>
      <c r="D4" s="1179"/>
      <c r="E4" s="1179"/>
      <c r="F4" s="1179"/>
      <c r="G4" s="1179"/>
      <c r="H4" s="1179"/>
    </row>
    <row r="5" spans="1:8" ht="81" customHeight="1">
      <c r="A5" s="1179" t="s">
        <v>479</v>
      </c>
      <c r="B5" s="1179"/>
      <c r="C5" s="1179"/>
      <c r="D5" s="1179"/>
      <c r="E5" s="1179"/>
      <c r="F5" s="1179"/>
      <c r="G5" s="1179"/>
      <c r="H5" s="1179"/>
    </row>
    <row r="6" spans="1:8" ht="224.7" customHeight="1">
      <c r="A6" s="1180" t="s">
        <v>480</v>
      </c>
      <c r="B6" s="1181"/>
      <c r="C6" s="1181"/>
      <c r="D6" s="1181"/>
      <c r="E6" s="1181"/>
      <c r="F6" s="1181"/>
      <c r="G6" s="1181"/>
      <c r="H6" s="1181"/>
    </row>
    <row r="7" spans="1:8" ht="192" customHeight="1">
      <c r="A7" s="1180" t="s">
        <v>481</v>
      </c>
      <c r="B7" s="1181"/>
      <c r="C7" s="1181"/>
      <c r="D7" s="1181"/>
      <c r="E7" s="1181"/>
      <c r="F7" s="1181"/>
      <c r="G7" s="1181"/>
      <c r="H7" s="1181"/>
    </row>
    <row r="8" spans="1:8">
      <c r="A8" s="1174" t="s">
        <v>482</v>
      </c>
      <c r="B8" s="1175"/>
      <c r="C8" s="1175"/>
      <c r="D8" s="1175"/>
      <c r="E8" s="1175"/>
      <c r="F8" s="1175"/>
      <c r="G8" s="1175"/>
      <c r="H8" s="1175"/>
    </row>
    <row r="9" spans="1:8">
      <c r="A9" s="1175"/>
      <c r="B9" s="1175"/>
      <c r="C9" s="1175"/>
      <c r="D9" s="1175"/>
      <c r="E9" s="1175"/>
      <c r="F9" s="1175"/>
      <c r="G9" s="1175"/>
      <c r="H9" s="1175"/>
    </row>
    <row r="10" spans="1:8">
      <c r="A10" s="1175"/>
      <c r="B10" s="1175"/>
      <c r="C10" s="1175"/>
      <c r="D10" s="1175"/>
      <c r="E10" s="1175"/>
      <c r="F10" s="1175"/>
      <c r="G10" s="1175"/>
      <c r="H10" s="1175"/>
    </row>
    <row r="11" spans="1:8">
      <c r="A11" s="1175"/>
      <c r="B11" s="1175"/>
      <c r="C11" s="1175"/>
      <c r="D11" s="1175"/>
      <c r="E11" s="1175"/>
      <c r="F11" s="1175"/>
      <c r="G11" s="1175"/>
      <c r="H11" s="1175"/>
    </row>
    <row r="12" spans="1:8">
      <c r="A12" s="1175"/>
      <c r="B12" s="1175"/>
      <c r="C12" s="1175"/>
      <c r="D12" s="1175"/>
      <c r="E12" s="1175"/>
      <c r="F12" s="1175"/>
      <c r="G12" s="1175"/>
      <c r="H12" s="1175"/>
    </row>
    <row r="13" spans="1:8">
      <c r="A13" s="1175"/>
      <c r="B13" s="1175"/>
      <c r="C13" s="1175"/>
      <c r="D13" s="1175"/>
      <c r="E13" s="1175"/>
      <c r="F13" s="1175"/>
      <c r="G13" s="1175"/>
      <c r="H13" s="1175"/>
    </row>
    <row r="14" spans="1:8">
      <c r="A14" s="1175"/>
      <c r="B14" s="1175"/>
      <c r="C14" s="1175"/>
      <c r="D14" s="1175"/>
      <c r="E14" s="1175"/>
      <c r="F14" s="1175"/>
      <c r="G14" s="1175"/>
      <c r="H14" s="1175"/>
    </row>
    <row r="15" spans="1:8">
      <c r="A15" s="1175"/>
      <c r="B15" s="1175"/>
      <c r="C15" s="1175"/>
      <c r="D15" s="1175"/>
      <c r="E15" s="1175"/>
      <c r="F15" s="1175"/>
      <c r="G15" s="1175"/>
      <c r="H15" s="1175"/>
    </row>
    <row r="16" spans="1:8">
      <c r="A16" s="1175"/>
      <c r="B16" s="1175"/>
      <c r="C16" s="1175"/>
      <c r="D16" s="1175"/>
      <c r="E16" s="1175"/>
      <c r="F16" s="1175"/>
      <c r="G16" s="1175"/>
      <c r="H16" s="1175"/>
    </row>
    <row r="17" spans="1:8">
      <c r="A17" s="1175"/>
      <c r="B17" s="1175"/>
      <c r="C17" s="1175"/>
      <c r="D17" s="1175"/>
      <c r="E17" s="1175"/>
      <c r="F17" s="1175"/>
      <c r="G17" s="1175"/>
      <c r="H17" s="1175"/>
    </row>
    <row r="18" spans="1:8" ht="114.6" customHeight="1">
      <c r="A18" s="1175"/>
      <c r="B18" s="1175"/>
      <c r="C18" s="1175"/>
      <c r="D18" s="1175"/>
      <c r="E18" s="1175"/>
      <c r="F18" s="1175"/>
      <c r="G18" s="1175"/>
      <c r="H18" s="1175"/>
    </row>
  </sheetData>
  <mergeCells count="7">
    <mergeCell ref="A8:H18"/>
    <mergeCell ref="A1:H1"/>
    <mergeCell ref="A3:H3"/>
    <mergeCell ref="A4:H4"/>
    <mergeCell ref="A5:H5"/>
    <mergeCell ref="A6:H6"/>
    <mergeCell ref="A7:H7"/>
  </mergeCells>
  <pageMargins left="0.7" right="0.7" top="0.75" bottom="0.75" header="0.3" footer="0.3"/>
  <pageSetup paperSize="9" scale="97"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8F120-5F15-4819-A5CA-DABC65CBE251}">
  <sheetPr>
    <tabColor theme="9"/>
    <pageSetUpPr fitToPage="1"/>
  </sheetPr>
  <dimension ref="A1:P243"/>
  <sheetViews>
    <sheetView topLeftCell="A26" workbookViewId="0">
      <selection activeCell="N41" sqref="N41"/>
    </sheetView>
    <sheetView topLeftCell="A23" workbookViewId="1">
      <selection sqref="A1:B1"/>
    </sheetView>
  </sheetViews>
  <sheetFormatPr baseColWidth="10" defaultRowHeight="13.2"/>
  <cols>
    <col min="1" max="1" width="5.5546875" style="29" bestFit="1" customWidth="1"/>
    <col min="2" max="2" width="19" style="29" customWidth="1"/>
    <col min="3" max="3" width="5.77734375" style="29" customWidth="1"/>
    <col min="4" max="4" width="14" style="29" bestFit="1" customWidth="1"/>
    <col min="5" max="5" width="10.6640625" style="29" bestFit="1" customWidth="1"/>
    <col min="6" max="6" width="11.5546875" style="29"/>
    <col min="7" max="7" width="14.109375" style="29" bestFit="1" customWidth="1"/>
    <col min="8" max="8" width="8.5546875" style="29" bestFit="1" customWidth="1"/>
    <col min="9" max="9" width="14.88671875" style="29" customWidth="1"/>
    <col min="10" max="10" width="26.109375" style="29" bestFit="1" customWidth="1"/>
    <col min="11" max="11" width="16.33203125" style="29" bestFit="1" customWidth="1"/>
    <col min="12" max="12" width="2.88671875" style="29" customWidth="1"/>
    <col min="13" max="13" width="6" style="29" bestFit="1" customWidth="1"/>
    <col min="14" max="14" width="26" style="29" customWidth="1"/>
    <col min="15" max="18" width="11.5546875" style="29"/>
    <col min="19" max="19" width="12.5546875" style="29" bestFit="1" customWidth="1"/>
    <col min="20" max="16384" width="11.5546875" style="29"/>
  </cols>
  <sheetData>
    <row r="1" spans="1:16" s="31" customFormat="1" ht="55.8" customHeight="1" thickBot="1">
      <c r="A1" s="1296" t="s">
        <v>135</v>
      </c>
      <c r="B1" s="1297"/>
      <c r="C1" s="1276" t="s">
        <v>818</v>
      </c>
      <c r="D1" s="1277"/>
      <c r="E1" s="1278"/>
      <c r="F1" s="1298" t="s">
        <v>30</v>
      </c>
      <c r="G1" s="1299" t="e">
        <f>#REF!</f>
        <v>#REF!</v>
      </c>
      <c r="H1" s="96" t="s">
        <v>0</v>
      </c>
      <c r="I1" s="97" t="s">
        <v>39</v>
      </c>
      <c r="J1" s="96" t="s">
        <v>38</v>
      </c>
      <c r="K1" s="98">
        <v>1.5</v>
      </c>
      <c r="L1" s="30"/>
      <c r="M1" s="30"/>
      <c r="N1" s="30"/>
      <c r="O1" s="30"/>
      <c r="P1" s="30"/>
    </row>
    <row r="2" spans="1:16" ht="13.8" thickBot="1"/>
    <row r="3" spans="1:16" s="311" customFormat="1" ht="16.2" thickBot="1">
      <c r="A3" s="318"/>
      <c r="B3" s="1348" t="s">
        <v>162</v>
      </c>
      <c r="C3" s="1348"/>
      <c r="D3" s="178">
        <f>K241</f>
        <v>0</v>
      </c>
      <c r="E3" s="315"/>
      <c r="F3" s="314" t="s">
        <v>163</v>
      </c>
      <c r="G3" s="178">
        <f>J208</f>
        <v>80478.461538461532</v>
      </c>
      <c r="H3" s="315"/>
      <c r="I3" s="315"/>
      <c r="J3" s="316" t="s">
        <v>161</v>
      </c>
      <c r="K3" s="317">
        <f>K243</f>
        <v>-80478.461538461532</v>
      </c>
      <c r="L3" s="310"/>
      <c r="M3" s="310"/>
      <c r="N3" s="310"/>
      <c r="O3" s="312"/>
      <c r="P3" s="312"/>
    </row>
    <row r="4" spans="1:16" ht="13.8" thickBot="1">
      <c r="A4" s="313"/>
      <c r="B4" s="313"/>
      <c r="C4" s="313"/>
      <c r="D4" s="313"/>
      <c r="E4" s="313"/>
      <c r="F4" s="313"/>
      <c r="G4" s="313"/>
      <c r="H4" s="313"/>
      <c r="I4" s="313"/>
      <c r="J4" s="313"/>
      <c r="K4" s="313"/>
      <c r="N4" s="213"/>
    </row>
    <row r="5" spans="1:16" s="31" customFormat="1" ht="19.95" customHeight="1" thickBot="1">
      <c r="A5" s="1240" t="s">
        <v>704</v>
      </c>
      <c r="B5" s="1241"/>
      <c r="C5" s="1241"/>
      <c r="D5" s="1241"/>
      <c r="E5" s="1241"/>
      <c r="F5" s="1241"/>
      <c r="G5" s="1241"/>
      <c r="H5" s="1241"/>
      <c r="I5" s="1241"/>
      <c r="J5" s="1241"/>
      <c r="K5" s="1242"/>
      <c r="L5" s="30"/>
      <c r="M5" s="30"/>
      <c r="N5" s="30"/>
    </row>
    <row r="6" spans="1:16" s="31" customFormat="1" ht="18" customHeight="1" thickBot="1">
      <c r="B6" s="32"/>
      <c r="C6" s="88"/>
      <c r="D6" s="89"/>
      <c r="E6" s="52"/>
      <c r="F6" s="52"/>
      <c r="G6" s="90"/>
      <c r="H6" s="51"/>
      <c r="I6" s="91"/>
      <c r="J6" s="30"/>
      <c r="K6" s="30"/>
      <c r="L6" s="30"/>
      <c r="M6" s="30"/>
      <c r="N6" s="30"/>
    </row>
    <row r="7" spans="1:16" s="31" customFormat="1" ht="16.95" customHeight="1" thickBot="1">
      <c r="A7" s="1263" t="s">
        <v>21</v>
      </c>
      <c r="B7" s="1253"/>
      <c r="C7" s="92"/>
      <c r="D7" s="1253" t="s">
        <v>22</v>
      </c>
      <c r="E7" s="1253"/>
      <c r="F7" s="1254"/>
      <c r="G7" s="1287" t="s">
        <v>2</v>
      </c>
      <c r="H7" s="1254"/>
      <c r="I7" s="93" t="s">
        <v>28</v>
      </c>
      <c r="J7" s="94" t="s">
        <v>32</v>
      </c>
      <c r="K7" s="95" t="s">
        <v>52</v>
      </c>
      <c r="L7" s="30"/>
      <c r="M7" s="30"/>
      <c r="N7" s="30" t="s">
        <v>31</v>
      </c>
      <c r="O7" s="30"/>
      <c r="P7" s="30" t="s">
        <v>31</v>
      </c>
    </row>
    <row r="8" spans="1:16" s="31" customFormat="1" ht="15" customHeight="1">
      <c r="A8" s="1264" t="s">
        <v>703</v>
      </c>
      <c r="B8" s="1265"/>
      <c r="C8" s="166"/>
      <c r="D8" s="1255"/>
      <c r="E8" s="1255"/>
      <c r="F8" s="1256"/>
      <c r="G8" s="1288"/>
      <c r="H8" s="1289"/>
      <c r="I8" s="207"/>
      <c r="J8" s="234"/>
      <c r="K8" s="233">
        <f t="shared" ref="K8:K22" si="0">I8*J8</f>
        <v>0</v>
      </c>
      <c r="L8" s="33"/>
      <c r="M8" s="33"/>
      <c r="N8" s="34" t="s">
        <v>24</v>
      </c>
      <c r="O8" s="30"/>
      <c r="P8" s="34" t="s">
        <v>24</v>
      </c>
    </row>
    <row r="9" spans="1:16" s="31" customFormat="1" ht="15" customHeight="1">
      <c r="A9" s="1266" t="s">
        <v>23</v>
      </c>
      <c r="B9" s="1267"/>
      <c r="C9" s="167"/>
      <c r="D9" s="1257"/>
      <c r="E9" s="1257"/>
      <c r="F9" s="1257"/>
      <c r="G9" s="1274"/>
      <c r="H9" s="1275"/>
      <c r="I9" s="208">
        <v>1</v>
      </c>
      <c r="J9" s="35">
        <v>10</v>
      </c>
      <c r="K9" s="36">
        <f t="shared" si="0"/>
        <v>10</v>
      </c>
      <c r="L9" s="33"/>
      <c r="M9" s="33"/>
      <c r="N9" s="37" t="s">
        <v>23</v>
      </c>
      <c r="O9" s="30"/>
      <c r="P9" s="37" t="s">
        <v>23</v>
      </c>
    </row>
    <row r="10" spans="1:16" s="31" customFormat="1" ht="13.8">
      <c r="A10" s="1268" t="s">
        <v>81</v>
      </c>
      <c r="B10" s="1269"/>
      <c r="C10" s="168"/>
      <c r="D10" s="1258" t="s">
        <v>117</v>
      </c>
      <c r="E10" s="1258"/>
      <c r="F10" s="1258"/>
      <c r="G10" s="1283"/>
      <c r="H10" s="1284"/>
      <c r="I10" s="209">
        <v>5</v>
      </c>
      <c r="J10" s="38">
        <v>40</v>
      </c>
      <c r="K10" s="39">
        <f t="shared" si="0"/>
        <v>200</v>
      </c>
      <c r="L10" s="33"/>
      <c r="M10" s="33"/>
      <c r="N10" s="40" t="s">
        <v>25</v>
      </c>
      <c r="O10" s="30"/>
      <c r="P10" s="40" t="s">
        <v>25</v>
      </c>
    </row>
    <row r="11" spans="1:16" s="31" customFormat="1" ht="15" customHeight="1" thickBot="1">
      <c r="A11" s="1266" t="s">
        <v>114</v>
      </c>
      <c r="B11" s="1267"/>
      <c r="C11" s="167"/>
      <c r="D11" s="1257"/>
      <c r="E11" s="1257"/>
      <c r="F11" s="1257"/>
      <c r="G11" s="199"/>
      <c r="H11" s="200"/>
      <c r="I11" s="208">
        <v>1</v>
      </c>
      <c r="J11" s="35">
        <v>10</v>
      </c>
      <c r="K11" s="36">
        <f t="shared" si="0"/>
        <v>10</v>
      </c>
      <c r="L11" s="33"/>
      <c r="M11" s="33"/>
      <c r="N11" s="41" t="s">
        <v>26</v>
      </c>
      <c r="O11" s="30"/>
      <c r="P11" s="41" t="s">
        <v>81</v>
      </c>
    </row>
    <row r="12" spans="1:16" s="31" customFormat="1" ht="15" hidden="1" customHeight="1">
      <c r="A12" s="1270"/>
      <c r="B12" s="1271"/>
      <c r="C12" s="194"/>
      <c r="D12" s="1259"/>
      <c r="E12" s="1259"/>
      <c r="F12" s="1259"/>
      <c r="G12" s="1285"/>
      <c r="H12" s="1286"/>
      <c r="I12" s="210"/>
      <c r="J12" s="197"/>
      <c r="K12" s="198">
        <f t="shared" si="0"/>
        <v>0</v>
      </c>
      <c r="L12" s="33"/>
      <c r="M12" s="33"/>
      <c r="N12" s="42" t="s">
        <v>55</v>
      </c>
      <c r="O12" s="30"/>
      <c r="P12" s="42" t="s">
        <v>55</v>
      </c>
    </row>
    <row r="13" spans="1:16" s="31" customFormat="1" ht="15" hidden="1" customHeight="1">
      <c r="A13" s="1270"/>
      <c r="B13" s="1271"/>
      <c r="C13" s="194"/>
      <c r="D13" s="1260"/>
      <c r="E13" s="1260"/>
      <c r="F13" s="1260"/>
      <c r="G13" s="1285"/>
      <c r="H13" s="1286"/>
      <c r="I13" s="210"/>
      <c r="J13" s="197"/>
      <c r="K13" s="198">
        <f t="shared" si="0"/>
        <v>0</v>
      </c>
      <c r="L13" s="33"/>
      <c r="M13" s="33"/>
      <c r="N13" s="43" t="s">
        <v>54</v>
      </c>
      <c r="O13" s="30"/>
      <c r="P13" s="43" t="s">
        <v>54</v>
      </c>
    </row>
    <row r="14" spans="1:16" s="31" customFormat="1" ht="15" hidden="1" customHeight="1">
      <c r="A14" s="1270"/>
      <c r="B14" s="1271"/>
      <c r="C14" s="194"/>
      <c r="D14" s="1260"/>
      <c r="E14" s="1260"/>
      <c r="F14" s="1260"/>
      <c r="G14" s="195"/>
      <c r="H14" s="196"/>
      <c r="I14" s="210"/>
      <c r="J14" s="197"/>
      <c r="K14" s="198">
        <f t="shared" si="0"/>
        <v>0</v>
      </c>
      <c r="L14" s="33"/>
      <c r="M14" s="33"/>
      <c r="N14" s="44" t="s">
        <v>27</v>
      </c>
      <c r="O14" s="30"/>
      <c r="P14" s="44" t="s">
        <v>27</v>
      </c>
    </row>
    <row r="15" spans="1:16" s="31" customFormat="1" ht="13.8" hidden="1" customHeight="1">
      <c r="A15" s="1281"/>
      <c r="B15" s="1282"/>
      <c r="C15" s="169"/>
      <c r="D15" s="1290"/>
      <c r="E15" s="1290"/>
      <c r="F15" s="1290"/>
      <c r="G15" s="1261"/>
      <c r="H15" s="1262"/>
      <c r="I15" s="211"/>
      <c r="J15" s="45"/>
      <c r="K15" s="46">
        <f t="shared" si="0"/>
        <v>0</v>
      </c>
      <c r="L15" s="33"/>
      <c r="M15" s="33"/>
      <c r="N15" s="30"/>
      <c r="O15" s="30"/>
      <c r="P15" s="30"/>
    </row>
    <row r="16" spans="1:16" s="31" customFormat="1" ht="15" hidden="1" customHeight="1">
      <c r="A16" s="1311"/>
      <c r="B16" s="1312"/>
      <c r="C16" s="170"/>
      <c r="D16" s="1290"/>
      <c r="E16" s="1290"/>
      <c r="F16" s="1290"/>
      <c r="G16" s="1261"/>
      <c r="H16" s="1262"/>
      <c r="I16" s="211"/>
      <c r="J16" s="45"/>
      <c r="K16" s="46">
        <f t="shared" si="0"/>
        <v>0</v>
      </c>
      <c r="L16" s="33"/>
      <c r="M16" s="33"/>
      <c r="N16" s="30"/>
      <c r="O16" s="30"/>
      <c r="P16" s="30"/>
    </row>
    <row r="17" spans="1:16" s="31" customFormat="1" ht="15" hidden="1" customHeight="1">
      <c r="A17" s="1311"/>
      <c r="B17" s="1312"/>
      <c r="C17" s="170"/>
      <c r="D17" s="1290"/>
      <c r="E17" s="1290"/>
      <c r="F17" s="1290"/>
      <c r="G17" s="1261"/>
      <c r="H17" s="1262"/>
      <c r="I17" s="211"/>
      <c r="J17" s="45"/>
      <c r="K17" s="46">
        <f t="shared" si="0"/>
        <v>0</v>
      </c>
      <c r="L17" s="33"/>
      <c r="M17" s="33"/>
      <c r="N17" s="232"/>
      <c r="O17" s="30"/>
    </row>
    <row r="18" spans="1:16" s="31" customFormat="1" ht="13.8" hidden="1">
      <c r="A18" s="1311"/>
      <c r="B18" s="1312"/>
      <c r="C18" s="170"/>
      <c r="D18" s="1252"/>
      <c r="E18" s="1252"/>
      <c r="F18" s="1252"/>
      <c r="G18" s="1261"/>
      <c r="H18" s="1262"/>
      <c r="I18" s="211"/>
      <c r="J18" s="45"/>
      <c r="K18" s="46">
        <f t="shared" si="0"/>
        <v>0</v>
      </c>
      <c r="L18" s="33"/>
      <c r="M18" s="33"/>
      <c r="N18" s="33"/>
      <c r="O18" s="30"/>
      <c r="P18" s="30"/>
    </row>
    <row r="19" spans="1:16" s="31" customFormat="1" ht="15" hidden="1" customHeight="1">
      <c r="A19" s="1311"/>
      <c r="B19" s="1312"/>
      <c r="C19" s="170"/>
      <c r="D19" s="1290"/>
      <c r="E19" s="1290"/>
      <c r="F19" s="1290"/>
      <c r="G19" s="1261"/>
      <c r="H19" s="1262"/>
      <c r="I19" s="211"/>
      <c r="J19" s="45"/>
      <c r="K19" s="46">
        <f t="shared" si="0"/>
        <v>0</v>
      </c>
      <c r="L19" s="33"/>
      <c r="M19" s="33"/>
      <c r="N19" s="33"/>
      <c r="O19" s="30"/>
      <c r="P19" s="30"/>
    </row>
    <row r="20" spans="1:16" s="31" customFormat="1" ht="13.8" hidden="1">
      <c r="A20" s="1311"/>
      <c r="B20" s="1312"/>
      <c r="C20" s="170"/>
      <c r="D20" s="1252"/>
      <c r="E20" s="1252"/>
      <c r="F20" s="1252"/>
      <c r="G20" s="1261"/>
      <c r="H20" s="1262"/>
      <c r="I20" s="211"/>
      <c r="J20" s="45"/>
      <c r="K20" s="46">
        <f t="shared" si="0"/>
        <v>0</v>
      </c>
      <c r="L20" s="33"/>
      <c r="M20" s="33"/>
      <c r="N20" s="33"/>
      <c r="O20" s="30"/>
      <c r="P20" s="30"/>
    </row>
    <row r="21" spans="1:16" s="31" customFormat="1" ht="15" hidden="1" customHeight="1">
      <c r="A21" s="1311"/>
      <c r="B21" s="1312"/>
      <c r="C21" s="170"/>
      <c r="D21" s="1290"/>
      <c r="E21" s="1290"/>
      <c r="F21" s="1290"/>
      <c r="G21" s="1261"/>
      <c r="H21" s="1262"/>
      <c r="I21" s="211"/>
      <c r="J21" s="45"/>
      <c r="K21" s="46">
        <f t="shared" si="0"/>
        <v>0</v>
      </c>
      <c r="L21" s="33"/>
      <c r="M21" s="33"/>
      <c r="N21" s="33"/>
      <c r="O21" s="30"/>
      <c r="P21" s="30"/>
    </row>
    <row r="22" spans="1:16" s="31" customFormat="1" ht="16.05" hidden="1" customHeight="1" thickBot="1">
      <c r="A22" s="1326"/>
      <c r="B22" s="1327"/>
      <c r="C22" s="171"/>
      <c r="D22" s="1306"/>
      <c r="E22" s="1306"/>
      <c r="F22" s="1307"/>
      <c r="G22" s="1321"/>
      <c r="H22" s="1322"/>
      <c r="I22" s="212"/>
      <c r="J22" s="47"/>
      <c r="K22" s="48">
        <f t="shared" si="0"/>
        <v>0</v>
      </c>
      <c r="L22" s="33"/>
      <c r="M22" s="33"/>
      <c r="N22" s="33"/>
      <c r="O22" s="30"/>
      <c r="P22" s="30"/>
    </row>
    <row r="23" spans="1:16" s="31" customFormat="1" ht="18" customHeight="1" thickBot="1">
      <c r="A23" s="152"/>
      <c r="B23" s="977"/>
      <c r="C23" s="977"/>
      <c r="D23" s="977"/>
      <c r="E23" s="977"/>
      <c r="F23" s="978"/>
      <c r="G23" s="979"/>
      <c r="H23" s="977"/>
      <c r="I23" s="980"/>
      <c r="J23" s="49">
        <f>SUM(J8:J22)</f>
        <v>60</v>
      </c>
      <c r="K23" s="49">
        <f>SUM(K8:K22)</f>
        <v>220</v>
      </c>
      <c r="L23" s="50"/>
      <c r="M23" s="50"/>
      <c r="N23" s="50"/>
      <c r="O23" s="30"/>
      <c r="P23" s="30"/>
    </row>
    <row r="25" spans="1:16" ht="13.8" thickBot="1"/>
    <row r="26" spans="1:16" s="31" customFormat="1" ht="19.95" customHeight="1" thickBot="1">
      <c r="A26" s="1240" t="s">
        <v>1</v>
      </c>
      <c r="B26" s="1241"/>
      <c r="C26" s="1241"/>
      <c r="D26" s="1241"/>
      <c r="E26" s="1241"/>
      <c r="F26" s="1241"/>
      <c r="G26" s="1241"/>
      <c r="H26" s="1241"/>
      <c r="I26" s="1241"/>
      <c r="J26" s="1241"/>
      <c r="K26" s="1242"/>
      <c r="L26" s="30"/>
      <c r="M26" s="30"/>
    </row>
    <row r="27" spans="1:16" ht="13.8" thickBot="1"/>
    <row r="28" spans="1:16" ht="16.2" thickBot="1">
      <c r="A28" s="1237" t="s">
        <v>18</v>
      </c>
      <c r="B28" s="1238"/>
      <c r="C28" s="1238"/>
      <c r="D28" s="1238"/>
      <c r="E28" s="1238"/>
      <c r="F28" s="1238"/>
      <c r="G28" s="1238"/>
      <c r="H28" s="1238"/>
      <c r="I28" s="1238"/>
      <c r="J28" s="1238"/>
      <c r="K28" s="1239"/>
    </row>
    <row r="29" spans="1:16" ht="13.8" thickBot="1">
      <c r="A29" s="136"/>
      <c r="B29" s="137"/>
      <c r="C29" s="137"/>
      <c r="D29" s="137"/>
      <c r="E29" s="137"/>
      <c r="F29" s="137"/>
      <c r="G29" s="137"/>
      <c r="H29" s="137"/>
      <c r="I29" s="137"/>
      <c r="J29" s="137"/>
      <c r="K29" s="138"/>
    </row>
    <row r="30" spans="1:16" ht="14.4" thickBot="1">
      <c r="A30" s="71" t="s">
        <v>83</v>
      </c>
      <c r="B30" s="1279" t="s">
        <v>91</v>
      </c>
      <c r="C30" s="1280"/>
      <c r="D30" s="72" t="s">
        <v>43</v>
      </c>
      <c r="E30" s="73" t="s">
        <v>44</v>
      </c>
      <c r="F30" s="73" t="s">
        <v>82</v>
      </c>
      <c r="G30" s="73" t="s">
        <v>3</v>
      </c>
      <c r="H30" s="74" t="s">
        <v>4</v>
      </c>
      <c r="I30" s="74" t="s">
        <v>80</v>
      </c>
      <c r="J30" s="75" t="s">
        <v>84</v>
      </c>
      <c r="K30" s="76" t="s">
        <v>17</v>
      </c>
    </row>
    <row r="31" spans="1:16" ht="13.8">
      <c r="A31" s="80">
        <v>620</v>
      </c>
      <c r="B31" s="1328" t="s">
        <v>34</v>
      </c>
      <c r="C31" s="1295"/>
      <c r="D31" s="1109"/>
      <c r="E31" s="1110"/>
      <c r="F31" s="1111">
        <v>161</v>
      </c>
      <c r="G31" s="1112" t="s">
        <v>29</v>
      </c>
      <c r="H31" s="1113">
        <f>J9+J11</f>
        <v>20</v>
      </c>
      <c r="I31" s="1114"/>
      <c r="J31" s="1115"/>
      <c r="K31" s="1116">
        <f>F31*H31</f>
        <v>3220</v>
      </c>
    </row>
    <row r="32" spans="1:16" ht="13.8">
      <c r="A32" s="82">
        <v>620</v>
      </c>
      <c r="B32" s="1329" t="s">
        <v>34</v>
      </c>
      <c r="C32" s="1330"/>
      <c r="D32" s="1101"/>
      <c r="E32" s="1102"/>
      <c r="F32" s="1103">
        <v>161</v>
      </c>
      <c r="G32" s="1104" t="s">
        <v>29</v>
      </c>
      <c r="H32" s="1105">
        <f>H31</f>
        <v>20</v>
      </c>
      <c r="I32" s="1106"/>
      <c r="J32" s="1107"/>
      <c r="K32" s="1108">
        <f>F32*H32</f>
        <v>3220</v>
      </c>
    </row>
    <row r="33" spans="1:12" ht="13.8">
      <c r="A33" s="82">
        <v>620</v>
      </c>
      <c r="B33" s="1272" t="s">
        <v>122</v>
      </c>
      <c r="C33" s="1273"/>
      <c r="D33" s="53">
        <v>3000</v>
      </c>
      <c r="E33" s="54" t="s">
        <v>45</v>
      </c>
      <c r="F33" s="86">
        <f t="shared" ref="F33:F40" si="1">IF(E33="5jours/sem", D33*3/13/5,IF(E33="6jours/sem",D33*3/13/6,""))</f>
        <v>138.46153846153845</v>
      </c>
      <c r="G33" s="55" t="s">
        <v>29</v>
      </c>
      <c r="H33" s="1062">
        <f>J10</f>
        <v>40</v>
      </c>
      <c r="I33" s="77">
        <f t="shared" ref="I33:I40" si="2">IF(E33="",0,IF(G33="",0,IF(E33="5jours/sem",IF(G33="Jour",H33*D33*3/13/5,IF(G33="Semaine",H33*D33*3/13,IF(G33="Mois",H33*D33,0))),IF(E33="6jours/sem",IF(G33="Jour",H33*D33*3/13/6,IF(G33="Semaine",H33*D33*3/13,IF(G33="Mois",H33*D33,0)))))))</f>
        <v>5538.4615384615381</v>
      </c>
      <c r="J33" s="83"/>
      <c r="K33" s="79">
        <f t="shared" ref="K33:K40" si="3">I33*K$1+J33*H33</f>
        <v>8307.6923076923067</v>
      </c>
    </row>
    <row r="34" spans="1:12" ht="14.4" thickBot="1">
      <c r="A34" s="82">
        <v>620</v>
      </c>
      <c r="B34" s="1272" t="s">
        <v>842</v>
      </c>
      <c r="C34" s="1273"/>
      <c r="D34" s="53">
        <v>3000</v>
      </c>
      <c r="E34" s="54" t="s">
        <v>45</v>
      </c>
      <c r="F34" s="86">
        <f t="shared" si="1"/>
        <v>138.46153846153845</v>
      </c>
      <c r="G34" s="55" t="s">
        <v>29</v>
      </c>
      <c r="H34" s="56">
        <v>25</v>
      </c>
      <c r="I34" s="77">
        <f t="shared" si="2"/>
        <v>3461.5384615384619</v>
      </c>
      <c r="J34" s="83"/>
      <c r="K34" s="79">
        <f t="shared" si="3"/>
        <v>5192.3076923076933</v>
      </c>
    </row>
    <row r="35" spans="1:12" ht="13.8" hidden="1">
      <c r="A35" s="82">
        <v>620</v>
      </c>
      <c r="B35" s="1272"/>
      <c r="C35" s="1273"/>
      <c r="D35" s="53">
        <v>2800</v>
      </c>
      <c r="E35" s="54" t="s">
        <v>45</v>
      </c>
      <c r="F35" s="86">
        <f t="shared" si="1"/>
        <v>129.23076923076923</v>
      </c>
      <c r="G35" s="55" t="s">
        <v>29</v>
      </c>
      <c r="H35" s="56"/>
      <c r="I35" s="77">
        <f t="shared" si="2"/>
        <v>0</v>
      </c>
      <c r="J35" s="83">
        <v>0</v>
      </c>
      <c r="K35" s="79">
        <f t="shared" si="3"/>
        <v>0</v>
      </c>
    </row>
    <row r="36" spans="1:12" ht="13.8" hidden="1">
      <c r="A36" s="82">
        <v>620</v>
      </c>
      <c r="B36" s="1272"/>
      <c r="C36" s="1273"/>
      <c r="D36" s="53">
        <v>2800</v>
      </c>
      <c r="E36" s="54" t="s">
        <v>45</v>
      </c>
      <c r="F36" s="86">
        <f t="shared" si="1"/>
        <v>129.23076923076923</v>
      </c>
      <c r="G36" s="55" t="s">
        <v>29</v>
      </c>
      <c r="H36" s="56"/>
      <c r="I36" s="77">
        <f t="shared" si="2"/>
        <v>0</v>
      </c>
      <c r="J36" s="83">
        <v>0</v>
      </c>
      <c r="K36" s="79">
        <f t="shared" si="3"/>
        <v>0</v>
      </c>
    </row>
    <row r="37" spans="1:12" ht="13.8" hidden="1">
      <c r="A37" s="82">
        <v>620</v>
      </c>
      <c r="B37" s="1272"/>
      <c r="C37" s="1273"/>
      <c r="D37" s="53">
        <v>2800</v>
      </c>
      <c r="E37" s="54" t="s">
        <v>45</v>
      </c>
      <c r="F37" s="86">
        <f t="shared" si="1"/>
        <v>129.23076923076923</v>
      </c>
      <c r="G37" s="55" t="s">
        <v>29</v>
      </c>
      <c r="H37" s="56"/>
      <c r="I37" s="77">
        <f t="shared" si="2"/>
        <v>0</v>
      </c>
      <c r="J37" s="83">
        <v>0</v>
      </c>
      <c r="K37" s="79">
        <f t="shared" si="3"/>
        <v>0</v>
      </c>
    </row>
    <row r="38" spans="1:12" ht="13.8" hidden="1">
      <c r="A38" s="82">
        <v>620</v>
      </c>
      <c r="B38" s="57"/>
      <c r="C38" s="58"/>
      <c r="D38" s="53">
        <v>2800</v>
      </c>
      <c r="E38" s="54" t="s">
        <v>45</v>
      </c>
      <c r="F38" s="86">
        <f t="shared" si="1"/>
        <v>129.23076923076923</v>
      </c>
      <c r="G38" s="55" t="s">
        <v>29</v>
      </c>
      <c r="H38" s="56"/>
      <c r="I38" s="77">
        <f t="shared" si="2"/>
        <v>0</v>
      </c>
      <c r="J38" s="83">
        <v>0</v>
      </c>
      <c r="K38" s="79">
        <f t="shared" si="3"/>
        <v>0</v>
      </c>
    </row>
    <row r="39" spans="1:12" ht="13.8" hidden="1">
      <c r="A39" s="82">
        <v>620</v>
      </c>
      <c r="B39" s="57"/>
      <c r="C39" s="58"/>
      <c r="D39" s="53">
        <v>2800</v>
      </c>
      <c r="E39" s="54" t="s">
        <v>45</v>
      </c>
      <c r="F39" s="86">
        <f t="shared" si="1"/>
        <v>129.23076923076923</v>
      </c>
      <c r="G39" s="55" t="s">
        <v>29</v>
      </c>
      <c r="H39" s="56"/>
      <c r="I39" s="77">
        <f t="shared" si="2"/>
        <v>0</v>
      </c>
      <c r="J39" s="83">
        <v>0</v>
      </c>
      <c r="K39" s="79">
        <f t="shared" si="3"/>
        <v>0</v>
      </c>
    </row>
    <row r="40" spans="1:12" ht="14.4" hidden="1" thickBot="1">
      <c r="A40" s="84">
        <v>620</v>
      </c>
      <c r="B40" s="59"/>
      <c r="C40" s="60"/>
      <c r="D40" s="61">
        <v>2800</v>
      </c>
      <c r="E40" s="62" t="s">
        <v>45</v>
      </c>
      <c r="F40" s="87">
        <f t="shared" si="1"/>
        <v>129.23076923076923</v>
      </c>
      <c r="G40" s="63" t="s">
        <v>29</v>
      </c>
      <c r="H40" s="64"/>
      <c r="I40" s="78">
        <f t="shared" si="2"/>
        <v>0</v>
      </c>
      <c r="J40" s="85">
        <v>0</v>
      </c>
      <c r="K40" s="79">
        <f t="shared" si="3"/>
        <v>0</v>
      </c>
    </row>
    <row r="41" spans="1:12" ht="16.2" thickBot="1">
      <c r="A41" s="151"/>
      <c r="B41" s="152"/>
      <c r="C41" s="65"/>
      <c r="D41" s="1310"/>
      <c r="E41" s="1310"/>
      <c r="F41" s="65"/>
      <c r="G41" s="69"/>
      <c r="H41" s="153"/>
      <c r="I41" s="70"/>
      <c r="J41" s="146" t="s">
        <v>90</v>
      </c>
      <c r="K41" s="148">
        <f>SUM(K31:K40)</f>
        <v>19940</v>
      </c>
    </row>
    <row r="42" spans="1:12" ht="14.4" thickBot="1">
      <c r="A42" s="139"/>
      <c r="B42" s="111"/>
      <c r="C42" s="66"/>
      <c r="D42" s="66"/>
      <c r="E42" s="66"/>
      <c r="F42" s="66"/>
      <c r="G42" s="67"/>
      <c r="H42" s="68"/>
      <c r="I42" s="67"/>
      <c r="J42" s="67"/>
      <c r="K42" s="154"/>
    </row>
    <row r="43" spans="1:12" s="31" customFormat="1" ht="16.05" customHeight="1" thickBot="1">
      <c r="A43" s="126" t="s">
        <v>51</v>
      </c>
      <c r="B43" s="1243" t="s">
        <v>5</v>
      </c>
      <c r="C43" s="1244"/>
      <c r="D43" s="1245"/>
      <c r="E43" s="99" t="s">
        <v>6</v>
      </c>
      <c r="F43" s="127" t="s">
        <v>7</v>
      </c>
      <c r="G43" s="127" t="s">
        <v>6</v>
      </c>
      <c r="H43" s="128" t="s">
        <v>7</v>
      </c>
      <c r="I43" s="127" t="s">
        <v>33</v>
      </c>
      <c r="J43" s="155" t="s">
        <v>92</v>
      </c>
      <c r="K43" s="156"/>
      <c r="L43" s="30"/>
    </row>
    <row r="44" spans="1:12" s="31" customFormat="1" ht="15" hidden="1" customHeight="1">
      <c r="A44" s="100">
        <v>610</v>
      </c>
      <c r="B44" s="1323" t="s">
        <v>50</v>
      </c>
      <c r="C44" s="1324"/>
      <c r="D44" s="1325"/>
      <c r="E44" s="157"/>
      <c r="F44" s="158">
        <v>1</v>
      </c>
      <c r="G44" s="158"/>
      <c r="H44" s="214">
        <v>1</v>
      </c>
      <c r="I44" s="159"/>
      <c r="J44" s="105">
        <f t="shared" ref="J44:J65" si="4">F44*H44*I44</f>
        <v>0</v>
      </c>
      <c r="K44" s="156"/>
      <c r="L44" s="30"/>
    </row>
    <row r="45" spans="1:12" s="31" customFormat="1" ht="15" hidden="1" customHeight="1">
      <c r="A45" s="102"/>
      <c r="B45" s="1246"/>
      <c r="C45" s="1247"/>
      <c r="D45" s="1248"/>
      <c r="E45" s="160"/>
      <c r="F45" s="161">
        <v>1</v>
      </c>
      <c r="G45" s="161"/>
      <c r="H45" s="215">
        <v>1</v>
      </c>
      <c r="I45" s="125"/>
      <c r="J45" s="105">
        <f t="shared" si="4"/>
        <v>0</v>
      </c>
      <c r="K45" s="156"/>
      <c r="L45" s="30"/>
    </row>
    <row r="46" spans="1:12" s="31" customFormat="1" ht="15" hidden="1" customHeight="1">
      <c r="A46" s="102">
        <v>611</v>
      </c>
      <c r="B46" s="1246" t="s">
        <v>46</v>
      </c>
      <c r="C46" s="1247"/>
      <c r="D46" s="1248"/>
      <c r="E46" s="160"/>
      <c r="F46" s="161">
        <v>1</v>
      </c>
      <c r="G46" s="161"/>
      <c r="H46" s="215">
        <v>1</v>
      </c>
      <c r="I46" s="125"/>
      <c r="J46" s="105">
        <f t="shared" si="4"/>
        <v>0</v>
      </c>
      <c r="K46" s="156"/>
      <c r="L46" s="30"/>
    </row>
    <row r="47" spans="1:12" s="31" customFormat="1" ht="15" hidden="1" customHeight="1">
      <c r="A47" s="102"/>
      <c r="B47" s="1249"/>
      <c r="C47" s="1250"/>
      <c r="D47" s="1251"/>
      <c r="E47" s="160"/>
      <c r="F47" s="161">
        <v>1</v>
      </c>
      <c r="G47" s="161"/>
      <c r="H47" s="215">
        <v>1</v>
      </c>
      <c r="I47" s="125"/>
      <c r="J47" s="105">
        <f t="shared" si="4"/>
        <v>0</v>
      </c>
      <c r="K47" s="156"/>
      <c r="L47" s="30"/>
    </row>
    <row r="48" spans="1:12" s="31" customFormat="1" ht="15" hidden="1" customHeight="1">
      <c r="A48" s="102">
        <v>612</v>
      </c>
      <c r="B48" s="1246" t="s">
        <v>56</v>
      </c>
      <c r="C48" s="1247"/>
      <c r="D48" s="1248"/>
      <c r="E48" s="115"/>
      <c r="F48" s="116">
        <v>1</v>
      </c>
      <c r="G48" s="116"/>
      <c r="H48" s="216">
        <v>1</v>
      </c>
      <c r="I48" s="104"/>
      <c r="J48" s="105">
        <f t="shared" si="4"/>
        <v>0</v>
      </c>
      <c r="K48" s="156"/>
      <c r="L48" s="30"/>
    </row>
    <row r="49" spans="1:14" s="31" customFormat="1" ht="15" hidden="1" customHeight="1">
      <c r="A49" s="102"/>
      <c r="B49" s="1246"/>
      <c r="C49" s="1247"/>
      <c r="D49" s="1248"/>
      <c r="E49" s="115"/>
      <c r="F49" s="116">
        <v>1</v>
      </c>
      <c r="G49" s="116"/>
      <c r="H49" s="216">
        <v>1</v>
      </c>
      <c r="I49" s="104"/>
      <c r="J49" s="105">
        <f t="shared" si="4"/>
        <v>0</v>
      </c>
      <c r="K49" s="156"/>
      <c r="L49" s="30"/>
    </row>
    <row r="50" spans="1:14" s="31" customFormat="1" ht="15" hidden="1" customHeight="1">
      <c r="A50" s="102">
        <v>613</v>
      </c>
      <c r="B50" s="1291" t="s">
        <v>47</v>
      </c>
      <c r="C50" s="1292"/>
      <c r="D50" s="1293"/>
      <c r="E50" s="115"/>
      <c r="F50" s="116">
        <v>1</v>
      </c>
      <c r="G50" s="116"/>
      <c r="H50" s="216">
        <v>1</v>
      </c>
      <c r="I50" s="104"/>
      <c r="J50" s="105">
        <f t="shared" si="4"/>
        <v>0</v>
      </c>
      <c r="K50" s="156"/>
      <c r="L50" s="30"/>
    </row>
    <row r="51" spans="1:14" s="31" customFormat="1" ht="16.05" hidden="1" customHeight="1">
      <c r="A51" s="102"/>
      <c r="B51" s="1291"/>
      <c r="C51" s="1292"/>
      <c r="D51" s="1293"/>
      <c r="E51" s="115"/>
      <c r="F51" s="116">
        <v>1</v>
      </c>
      <c r="G51" s="116"/>
      <c r="H51" s="134">
        <v>1</v>
      </c>
      <c r="I51" s="106"/>
      <c r="J51" s="105">
        <f t="shared" si="4"/>
        <v>0</v>
      </c>
      <c r="K51" s="156"/>
      <c r="L51" s="30"/>
    </row>
    <row r="52" spans="1:14" s="31" customFormat="1" ht="16.05" hidden="1" customHeight="1">
      <c r="A52" s="102">
        <v>614</v>
      </c>
      <c r="B52" s="1291" t="s">
        <v>10</v>
      </c>
      <c r="C52" s="1292"/>
      <c r="D52" s="1293"/>
      <c r="E52" s="115"/>
      <c r="F52" s="116">
        <v>1</v>
      </c>
      <c r="G52" s="116"/>
      <c r="H52" s="134">
        <v>1</v>
      </c>
      <c r="I52" s="106"/>
      <c r="J52" s="105">
        <f t="shared" si="4"/>
        <v>0</v>
      </c>
      <c r="K52" s="156"/>
      <c r="L52" s="30"/>
    </row>
    <row r="53" spans="1:14" s="31" customFormat="1" ht="16.05" hidden="1" customHeight="1">
      <c r="A53" s="102"/>
      <c r="B53" s="1291"/>
      <c r="C53" s="1292"/>
      <c r="D53" s="1293"/>
      <c r="E53" s="115"/>
      <c r="F53" s="116">
        <v>1</v>
      </c>
      <c r="G53" s="116"/>
      <c r="H53" s="134">
        <v>1</v>
      </c>
      <c r="I53" s="106"/>
      <c r="J53" s="105">
        <f t="shared" si="4"/>
        <v>0</v>
      </c>
      <c r="K53" s="156"/>
      <c r="L53" s="30"/>
    </row>
    <row r="54" spans="1:14" s="31" customFormat="1" ht="16.05" hidden="1" customHeight="1">
      <c r="A54" s="102">
        <v>615</v>
      </c>
      <c r="B54" s="1249" t="s">
        <v>48</v>
      </c>
      <c r="C54" s="1250"/>
      <c r="D54" s="1251"/>
      <c r="E54" s="115"/>
      <c r="F54" s="116">
        <v>1</v>
      </c>
      <c r="G54" s="116"/>
      <c r="H54" s="134">
        <v>1</v>
      </c>
      <c r="I54" s="106"/>
      <c r="J54" s="105">
        <f t="shared" si="4"/>
        <v>0</v>
      </c>
      <c r="K54" s="156"/>
      <c r="L54" s="30"/>
    </row>
    <row r="55" spans="1:14" s="31" customFormat="1" ht="16.05" hidden="1" customHeight="1">
      <c r="A55" s="102"/>
      <c r="B55" s="1249"/>
      <c r="C55" s="1250"/>
      <c r="D55" s="1251"/>
      <c r="E55" s="115"/>
      <c r="F55" s="116">
        <v>1</v>
      </c>
      <c r="G55" s="116"/>
      <c r="H55" s="134">
        <v>1</v>
      </c>
      <c r="I55" s="106"/>
      <c r="J55" s="105">
        <f t="shared" si="4"/>
        <v>0</v>
      </c>
      <c r="K55" s="156"/>
      <c r="L55" s="30"/>
    </row>
    <row r="56" spans="1:14" s="31" customFormat="1" ht="16.05" customHeight="1">
      <c r="A56" s="102">
        <v>616</v>
      </c>
      <c r="B56" s="1249" t="s">
        <v>41</v>
      </c>
      <c r="C56" s="1250"/>
      <c r="D56" s="1251"/>
      <c r="E56" s="115"/>
      <c r="F56" s="116">
        <v>1</v>
      </c>
      <c r="G56" s="116"/>
      <c r="H56" s="134">
        <v>8</v>
      </c>
      <c r="I56" s="106">
        <v>2000</v>
      </c>
      <c r="J56" s="105">
        <f t="shared" si="4"/>
        <v>16000</v>
      </c>
      <c r="K56" s="156"/>
      <c r="L56" s="30"/>
    </row>
    <row r="57" spans="1:14" s="31" customFormat="1" ht="15.6" customHeight="1">
      <c r="A57" s="102"/>
      <c r="B57" s="1249" t="s">
        <v>134</v>
      </c>
      <c r="C57" s="1250"/>
      <c r="D57" s="1251"/>
      <c r="E57" s="115"/>
      <c r="F57" s="116">
        <v>1</v>
      </c>
      <c r="G57" s="116"/>
      <c r="H57" s="134">
        <v>1</v>
      </c>
      <c r="I57" s="106">
        <v>1000</v>
      </c>
      <c r="J57" s="105">
        <f t="shared" si="4"/>
        <v>1000</v>
      </c>
      <c r="K57" s="156"/>
      <c r="L57" s="30"/>
    </row>
    <row r="58" spans="1:14" s="31" customFormat="1" ht="15.6" customHeight="1" thickBot="1">
      <c r="A58" s="102"/>
      <c r="B58" s="1249" t="s">
        <v>8</v>
      </c>
      <c r="C58" s="1250"/>
      <c r="D58" s="1251"/>
      <c r="E58" s="115"/>
      <c r="F58" s="116">
        <v>1</v>
      </c>
      <c r="G58" s="116"/>
      <c r="H58" s="134">
        <v>1</v>
      </c>
      <c r="I58" s="106">
        <v>2000</v>
      </c>
      <c r="J58" s="105">
        <f t="shared" si="4"/>
        <v>2000</v>
      </c>
      <c r="K58" s="156"/>
      <c r="L58" s="30"/>
    </row>
    <row r="59" spans="1:14" s="31" customFormat="1" ht="15.6" hidden="1" customHeight="1">
      <c r="A59" s="102"/>
      <c r="B59" s="1249" t="s">
        <v>9</v>
      </c>
      <c r="C59" s="1250"/>
      <c r="D59" s="1251"/>
      <c r="E59" s="115"/>
      <c r="F59" s="116">
        <v>1</v>
      </c>
      <c r="G59" s="116"/>
      <c r="H59" s="134">
        <v>1</v>
      </c>
      <c r="I59" s="106"/>
      <c r="J59" s="105">
        <f t="shared" si="4"/>
        <v>0</v>
      </c>
      <c r="K59" s="156"/>
      <c r="L59" s="30"/>
    </row>
    <row r="60" spans="1:14" s="31" customFormat="1" ht="15.6" hidden="1" customHeight="1">
      <c r="A60" s="102"/>
      <c r="B60" s="1249" t="s">
        <v>40</v>
      </c>
      <c r="C60" s="1250"/>
      <c r="D60" s="1251"/>
      <c r="E60" s="115"/>
      <c r="F60" s="116">
        <v>1</v>
      </c>
      <c r="G60" s="116"/>
      <c r="H60" s="134">
        <v>1</v>
      </c>
      <c r="I60" s="106"/>
      <c r="J60" s="105">
        <f t="shared" si="4"/>
        <v>0</v>
      </c>
      <c r="K60" s="156"/>
      <c r="L60" s="30"/>
      <c r="N60" s="31" t="s">
        <v>133</v>
      </c>
    </row>
    <row r="61" spans="1:14" s="31" customFormat="1" ht="15.6" hidden="1" customHeight="1">
      <c r="A61" s="102"/>
      <c r="B61" s="1249"/>
      <c r="C61" s="1250"/>
      <c r="D61" s="1251"/>
      <c r="E61" s="115"/>
      <c r="F61" s="116">
        <v>1</v>
      </c>
      <c r="G61" s="116"/>
      <c r="H61" s="134">
        <v>1</v>
      </c>
      <c r="I61" s="106"/>
      <c r="J61" s="105">
        <f t="shared" si="4"/>
        <v>0</v>
      </c>
      <c r="K61" s="156"/>
      <c r="L61" s="30"/>
    </row>
    <row r="62" spans="1:14" s="31" customFormat="1" ht="15" hidden="1" customHeight="1">
      <c r="A62" s="102">
        <v>619</v>
      </c>
      <c r="B62" s="1249" t="s">
        <v>49</v>
      </c>
      <c r="C62" s="1250"/>
      <c r="D62" s="1251"/>
      <c r="E62" s="115"/>
      <c r="F62" s="116">
        <v>1</v>
      </c>
      <c r="G62" s="116"/>
      <c r="H62" s="134">
        <v>1</v>
      </c>
      <c r="I62" s="106"/>
      <c r="J62" s="105">
        <f t="shared" si="4"/>
        <v>0</v>
      </c>
      <c r="K62" s="156"/>
      <c r="L62" s="30"/>
    </row>
    <row r="63" spans="1:14" s="31" customFormat="1" ht="15" hidden="1" customHeight="1">
      <c r="A63" s="102"/>
      <c r="B63" s="1249" t="s">
        <v>42</v>
      </c>
      <c r="C63" s="1250"/>
      <c r="D63" s="1251"/>
      <c r="E63" s="117"/>
      <c r="F63" s="116">
        <v>1</v>
      </c>
      <c r="G63" s="116"/>
      <c r="H63" s="134">
        <v>1</v>
      </c>
      <c r="I63" s="106"/>
      <c r="J63" s="105">
        <f t="shared" si="4"/>
        <v>0</v>
      </c>
      <c r="K63" s="156"/>
      <c r="L63" s="30"/>
    </row>
    <row r="64" spans="1:14" s="31" customFormat="1" ht="15" hidden="1" customHeight="1">
      <c r="A64" s="102"/>
      <c r="B64" s="1249"/>
      <c r="C64" s="1250"/>
      <c r="D64" s="1251"/>
      <c r="E64" s="117"/>
      <c r="F64" s="116">
        <v>1</v>
      </c>
      <c r="G64" s="116"/>
      <c r="H64" s="134">
        <v>1</v>
      </c>
      <c r="I64" s="106"/>
      <c r="J64" s="105">
        <f t="shared" si="4"/>
        <v>0</v>
      </c>
      <c r="K64" s="156"/>
      <c r="L64" s="30"/>
    </row>
    <row r="65" spans="1:12" s="31" customFormat="1" ht="16.05" hidden="1" customHeight="1" thickBot="1">
      <c r="A65" s="118"/>
      <c r="B65" s="1315"/>
      <c r="C65" s="1316"/>
      <c r="D65" s="1317"/>
      <c r="E65" s="119"/>
      <c r="F65" s="120">
        <v>1</v>
      </c>
      <c r="G65" s="120"/>
      <c r="H65" s="135">
        <v>1</v>
      </c>
      <c r="I65" s="121"/>
      <c r="J65" s="105">
        <f t="shared" si="4"/>
        <v>0</v>
      </c>
      <c r="K65" s="156"/>
      <c r="L65" s="30"/>
    </row>
    <row r="66" spans="1:12" s="31" customFormat="1" ht="16.95" customHeight="1" thickBot="1">
      <c r="A66" s="162"/>
      <c r="B66" s="142"/>
      <c r="C66" s="142"/>
      <c r="D66" s="142"/>
      <c r="E66" s="143"/>
      <c r="F66" s="144"/>
      <c r="G66" s="142"/>
      <c r="H66" s="145"/>
      <c r="I66" s="163" t="s">
        <v>90</v>
      </c>
      <c r="J66" s="164">
        <f>SUM(J44:J65)</f>
        <v>19000</v>
      </c>
      <c r="K66" s="165"/>
      <c r="L66" s="30"/>
    </row>
    <row r="67" spans="1:12" ht="14.4" thickBot="1">
      <c r="A67" s="150"/>
      <c r="B67" s="111"/>
      <c r="C67" s="66"/>
      <c r="D67" s="66"/>
      <c r="E67" s="66"/>
      <c r="F67" s="66"/>
      <c r="G67" s="67"/>
      <c r="H67" s="68"/>
      <c r="I67" s="67"/>
      <c r="J67" s="67"/>
      <c r="K67" s="67"/>
    </row>
    <row r="68" spans="1:12" s="141" customFormat="1" ht="16.2" customHeight="1" thickBot="1">
      <c r="A68" s="1237" t="s">
        <v>132</v>
      </c>
      <c r="B68" s="1238"/>
      <c r="C68" s="1238"/>
      <c r="D68" s="1238"/>
      <c r="E68" s="1238"/>
      <c r="F68" s="1238"/>
      <c r="G68" s="1238"/>
      <c r="H68" s="1238"/>
      <c r="I68" s="1302" t="s">
        <v>93</v>
      </c>
      <c r="J68" s="1302"/>
      <c r="K68" s="149">
        <f>K81+J91</f>
        <v>41538.461538461532</v>
      </c>
    </row>
    <row r="69" spans="1:12" ht="13.8" thickBot="1">
      <c r="A69" s="136"/>
      <c r="B69" s="137"/>
      <c r="C69" s="137"/>
      <c r="D69" s="137"/>
      <c r="E69" s="137"/>
      <c r="F69" s="137"/>
      <c r="G69" s="137"/>
      <c r="H69" s="137"/>
      <c r="I69" s="137"/>
      <c r="J69" s="137"/>
      <c r="K69" s="138"/>
    </row>
    <row r="70" spans="1:12" ht="14.4" thickBot="1">
      <c r="A70" s="71" t="s">
        <v>83</v>
      </c>
      <c r="B70" s="1279" t="s">
        <v>89</v>
      </c>
      <c r="C70" s="1280"/>
      <c r="D70" s="72" t="s">
        <v>43</v>
      </c>
      <c r="E70" s="73" t="s">
        <v>44</v>
      </c>
      <c r="F70" s="73" t="s">
        <v>82</v>
      </c>
      <c r="G70" s="73" t="s">
        <v>3</v>
      </c>
      <c r="H70" s="74" t="s">
        <v>4</v>
      </c>
      <c r="I70" s="74" t="s">
        <v>80</v>
      </c>
      <c r="J70" s="75" t="s">
        <v>84</v>
      </c>
      <c r="K70" s="76" t="s">
        <v>17</v>
      </c>
    </row>
    <row r="71" spans="1:12" ht="13.8">
      <c r="A71" s="80">
        <v>620</v>
      </c>
      <c r="B71" s="1294" t="s">
        <v>123</v>
      </c>
      <c r="C71" s="1295"/>
      <c r="D71" s="230">
        <v>3000</v>
      </c>
      <c r="E71" s="229" t="s">
        <v>45</v>
      </c>
      <c r="F71" s="228">
        <f t="shared" ref="F71:F80" si="5">IF(E71="5jours/sem", D71*3/13/5,IF(E71="6jours/sem",D71*3/13/6,""))</f>
        <v>138.46153846153845</v>
      </c>
      <c r="G71" s="240" t="s">
        <v>29</v>
      </c>
      <c r="H71" s="1060">
        <f>J10</f>
        <v>40</v>
      </c>
      <c r="I71" s="239">
        <f t="shared" ref="I71:I80" si="6">IF(E71="",0,IF(G71="",0,IF(E71="5jours/sem",IF(G71="Jour",H71*D71*3/13/5,IF(G71="Semaine",H71*D71*3/13,IF(G71="Mois",H71*D71,0))),IF(E71="6jours/sem",IF(G71="Jour",H71*D71*3/13/6,IF(G71="Semaine",H71*D71*3/13,IF(G71="Mois",H71*D71,0)))))))</f>
        <v>5538.4615384615381</v>
      </c>
      <c r="J71" s="81"/>
      <c r="K71" s="79">
        <f t="shared" ref="K71:K80" si="7">I71*K$1+J71*H71</f>
        <v>8307.6923076923067</v>
      </c>
    </row>
    <row r="72" spans="1:12" ht="13.8">
      <c r="A72" s="82">
        <v>620</v>
      </c>
      <c r="B72" s="1272" t="s">
        <v>123</v>
      </c>
      <c r="C72" s="1273"/>
      <c r="D72" s="53">
        <v>3000</v>
      </c>
      <c r="E72" s="54" t="s">
        <v>45</v>
      </c>
      <c r="F72" s="86">
        <f t="shared" si="5"/>
        <v>138.46153846153845</v>
      </c>
      <c r="G72" s="55" t="s">
        <v>29</v>
      </c>
      <c r="H72" s="1062">
        <f>H71</f>
        <v>40</v>
      </c>
      <c r="I72" s="77">
        <f t="shared" si="6"/>
        <v>5538.4615384615381</v>
      </c>
      <c r="J72" s="83"/>
      <c r="K72" s="79">
        <f t="shared" si="7"/>
        <v>8307.6923076923067</v>
      </c>
    </row>
    <row r="73" spans="1:12" ht="13.8">
      <c r="A73" s="82">
        <v>620</v>
      </c>
      <c r="B73" s="1272" t="s">
        <v>123</v>
      </c>
      <c r="C73" s="1273"/>
      <c r="D73" s="53">
        <v>3000</v>
      </c>
      <c r="E73" s="54" t="s">
        <v>45</v>
      </c>
      <c r="F73" s="86">
        <f t="shared" si="5"/>
        <v>138.46153846153845</v>
      </c>
      <c r="G73" s="55" t="s">
        <v>29</v>
      </c>
      <c r="H73" s="1062">
        <f>H72</f>
        <v>40</v>
      </c>
      <c r="I73" s="77">
        <f t="shared" si="6"/>
        <v>5538.4615384615381</v>
      </c>
      <c r="J73" s="83"/>
      <c r="K73" s="79">
        <f t="shared" si="7"/>
        <v>8307.6923076923067</v>
      </c>
    </row>
    <row r="74" spans="1:12" ht="13.8">
      <c r="A74" s="82">
        <v>620</v>
      </c>
      <c r="B74" s="1272" t="s">
        <v>123</v>
      </c>
      <c r="C74" s="1273"/>
      <c r="D74" s="53">
        <v>3000</v>
      </c>
      <c r="E74" s="54" t="s">
        <v>45</v>
      </c>
      <c r="F74" s="86">
        <f t="shared" si="5"/>
        <v>138.46153846153845</v>
      </c>
      <c r="G74" s="55" t="s">
        <v>29</v>
      </c>
      <c r="H74" s="1062">
        <f>H73</f>
        <v>40</v>
      </c>
      <c r="I74" s="77">
        <f t="shared" si="6"/>
        <v>5538.4615384615381</v>
      </c>
      <c r="J74" s="83"/>
      <c r="K74" s="79">
        <f t="shared" si="7"/>
        <v>8307.6923076923067</v>
      </c>
    </row>
    <row r="75" spans="1:12" ht="14.4" thickBot="1">
      <c r="A75" s="82">
        <v>620</v>
      </c>
      <c r="B75" s="1272" t="s">
        <v>123</v>
      </c>
      <c r="C75" s="1273"/>
      <c r="D75" s="53">
        <v>3000</v>
      </c>
      <c r="E75" s="54" t="s">
        <v>45</v>
      </c>
      <c r="F75" s="86">
        <f t="shared" si="5"/>
        <v>138.46153846153845</v>
      </c>
      <c r="G75" s="55" t="s">
        <v>29</v>
      </c>
      <c r="H75" s="1062">
        <f>H74</f>
        <v>40</v>
      </c>
      <c r="I75" s="77">
        <f t="shared" si="6"/>
        <v>5538.4615384615381</v>
      </c>
      <c r="J75" s="83"/>
      <c r="K75" s="79">
        <f t="shared" si="7"/>
        <v>8307.6923076923067</v>
      </c>
    </row>
    <row r="76" spans="1:12" ht="14.4" hidden="1" thickBot="1">
      <c r="A76" s="82">
        <v>620</v>
      </c>
      <c r="B76" s="1272"/>
      <c r="C76" s="1273"/>
      <c r="D76" s="53"/>
      <c r="E76" s="54" t="s">
        <v>45</v>
      </c>
      <c r="F76" s="86">
        <f t="shared" si="5"/>
        <v>0</v>
      </c>
      <c r="G76" s="55" t="s">
        <v>29</v>
      </c>
      <c r="H76" s="1062">
        <f>H75</f>
        <v>40</v>
      </c>
      <c r="I76" s="77">
        <f t="shared" si="6"/>
        <v>0</v>
      </c>
      <c r="J76" s="83"/>
      <c r="K76" s="79">
        <f t="shared" si="7"/>
        <v>0</v>
      </c>
    </row>
    <row r="77" spans="1:12" ht="13.8" hidden="1">
      <c r="A77" s="82">
        <v>620</v>
      </c>
      <c r="B77" s="1272" t="s">
        <v>122</v>
      </c>
      <c r="C77" s="1273"/>
      <c r="D77" s="53">
        <v>2800</v>
      </c>
      <c r="E77" s="54" t="s">
        <v>45</v>
      </c>
      <c r="F77" s="86">
        <f t="shared" si="5"/>
        <v>129.23076923076923</v>
      </c>
      <c r="G77" s="55" t="s">
        <v>29</v>
      </c>
      <c r="H77" s="56"/>
      <c r="I77" s="77">
        <f t="shared" si="6"/>
        <v>0</v>
      </c>
      <c r="J77" s="83">
        <v>0</v>
      </c>
      <c r="K77" s="79">
        <f t="shared" si="7"/>
        <v>0</v>
      </c>
    </row>
    <row r="78" spans="1:12" ht="13.8" hidden="1">
      <c r="A78" s="82">
        <v>620</v>
      </c>
      <c r="B78" s="1272" t="s">
        <v>85</v>
      </c>
      <c r="C78" s="1273"/>
      <c r="D78" s="53">
        <v>2800</v>
      </c>
      <c r="E78" s="54" t="s">
        <v>45</v>
      </c>
      <c r="F78" s="86">
        <f t="shared" si="5"/>
        <v>129.23076923076923</v>
      </c>
      <c r="G78" s="55" t="s">
        <v>29</v>
      </c>
      <c r="H78" s="56"/>
      <c r="I78" s="77">
        <f t="shared" si="6"/>
        <v>0</v>
      </c>
      <c r="J78" s="83">
        <v>0</v>
      </c>
      <c r="K78" s="79">
        <f t="shared" si="7"/>
        <v>0</v>
      </c>
    </row>
    <row r="79" spans="1:12" ht="13.8" hidden="1">
      <c r="A79" s="82">
        <v>620</v>
      </c>
      <c r="B79" s="1272" t="s">
        <v>85</v>
      </c>
      <c r="C79" s="1273"/>
      <c r="D79" s="53">
        <v>2800</v>
      </c>
      <c r="E79" s="54" t="s">
        <v>45</v>
      </c>
      <c r="F79" s="86">
        <f t="shared" si="5"/>
        <v>129.23076923076923</v>
      </c>
      <c r="G79" s="55" t="s">
        <v>29</v>
      </c>
      <c r="H79" s="56"/>
      <c r="I79" s="77">
        <f t="shared" si="6"/>
        <v>0</v>
      </c>
      <c r="J79" s="83">
        <v>0</v>
      </c>
      <c r="K79" s="79">
        <f t="shared" si="7"/>
        <v>0</v>
      </c>
    </row>
    <row r="80" spans="1:12" ht="14.4" hidden="1" thickBot="1">
      <c r="A80" s="84">
        <v>620</v>
      </c>
      <c r="B80" s="1308" t="s">
        <v>85</v>
      </c>
      <c r="C80" s="1309"/>
      <c r="D80" s="61">
        <v>2800</v>
      </c>
      <c r="E80" s="62" t="s">
        <v>45</v>
      </c>
      <c r="F80" s="87">
        <f t="shared" si="5"/>
        <v>129.23076923076923</v>
      </c>
      <c r="G80" s="63" t="s">
        <v>29</v>
      </c>
      <c r="H80" s="64"/>
      <c r="I80" s="78">
        <f t="shared" si="6"/>
        <v>0</v>
      </c>
      <c r="J80" s="85">
        <v>0</v>
      </c>
      <c r="K80" s="79">
        <f t="shared" si="7"/>
        <v>0</v>
      </c>
    </row>
    <row r="81" spans="1:11" ht="16.2" thickBot="1">
      <c r="A81" s="987"/>
      <c r="B81" s="152"/>
      <c r="C81" s="65"/>
      <c r="D81" s="1310"/>
      <c r="E81" s="1310"/>
      <c r="F81" s="65"/>
      <c r="G81" s="69"/>
      <c r="H81" s="986"/>
      <c r="I81" s="1300" t="s">
        <v>94</v>
      </c>
      <c r="J81" s="1301"/>
      <c r="K81" s="122">
        <f>SUM(K71:K80)</f>
        <v>41538.461538461532</v>
      </c>
    </row>
    <row r="82" spans="1:11" ht="14.4" hidden="1" customHeight="1" thickBot="1">
      <c r="A82" s="136"/>
      <c r="B82" s="137"/>
      <c r="C82" s="137"/>
      <c r="D82" s="137"/>
      <c r="E82" s="137"/>
      <c r="F82" s="137"/>
      <c r="G82" s="137"/>
      <c r="H82" s="137"/>
      <c r="I82" s="137"/>
      <c r="J82" s="137"/>
      <c r="K82" s="138"/>
    </row>
    <row r="83" spans="1:11" ht="14.4" hidden="1" thickBot="1">
      <c r="A83" s="126" t="s">
        <v>51</v>
      </c>
      <c r="B83" s="1234" t="s">
        <v>88</v>
      </c>
      <c r="C83" s="1235"/>
      <c r="D83" s="1236"/>
      <c r="E83" s="99" t="s">
        <v>6</v>
      </c>
      <c r="F83" s="127" t="s">
        <v>7</v>
      </c>
      <c r="G83" s="127" t="s">
        <v>6</v>
      </c>
      <c r="H83" s="128" t="s">
        <v>7</v>
      </c>
      <c r="I83" s="127" t="s">
        <v>33</v>
      </c>
      <c r="J83" s="129" t="s">
        <v>92</v>
      </c>
      <c r="K83" s="138"/>
    </row>
    <row r="84" spans="1:11" ht="13.8" hidden="1">
      <c r="A84" s="101">
        <v>610</v>
      </c>
      <c r="B84" s="1303" t="s">
        <v>53</v>
      </c>
      <c r="C84" s="1304"/>
      <c r="D84" s="1305"/>
      <c r="E84" s="123"/>
      <c r="F84" s="124">
        <v>1</v>
      </c>
      <c r="G84" s="123"/>
      <c r="H84" s="133">
        <v>1</v>
      </c>
      <c r="I84" s="125"/>
      <c r="J84" s="130">
        <f t="shared" ref="J84:J90" si="8">F84*H84*I84</f>
        <v>0</v>
      </c>
      <c r="K84" s="138"/>
    </row>
    <row r="85" spans="1:11" ht="13.8" hidden="1">
      <c r="A85" s="101">
        <v>611</v>
      </c>
      <c r="B85" s="1246" t="s">
        <v>11</v>
      </c>
      <c r="C85" s="1247"/>
      <c r="D85" s="1248"/>
      <c r="E85" s="123"/>
      <c r="F85" s="124">
        <v>1</v>
      </c>
      <c r="G85" s="123"/>
      <c r="H85" s="133">
        <v>1</v>
      </c>
      <c r="I85" s="125"/>
      <c r="J85" s="130">
        <f t="shared" si="8"/>
        <v>0</v>
      </c>
      <c r="K85" s="138"/>
    </row>
    <row r="86" spans="1:11" ht="13.8" hidden="1">
      <c r="A86" s="102">
        <v>611</v>
      </c>
      <c r="B86" s="1246" t="s">
        <v>12</v>
      </c>
      <c r="C86" s="1247"/>
      <c r="D86" s="1248"/>
      <c r="E86" s="103"/>
      <c r="F86" s="124">
        <v>1</v>
      </c>
      <c r="G86" s="103"/>
      <c r="H86" s="134">
        <v>1</v>
      </c>
      <c r="I86" s="104"/>
      <c r="J86" s="131">
        <f t="shared" si="8"/>
        <v>0</v>
      </c>
      <c r="K86" s="138"/>
    </row>
    <row r="87" spans="1:11" ht="13.8" hidden="1">
      <c r="A87" s="102">
        <v>613</v>
      </c>
      <c r="B87" s="1291" t="s">
        <v>14</v>
      </c>
      <c r="C87" s="1292"/>
      <c r="D87" s="1293"/>
      <c r="E87" s="103"/>
      <c r="F87" s="124">
        <v>1</v>
      </c>
      <c r="G87" s="103"/>
      <c r="H87" s="134">
        <v>1</v>
      </c>
      <c r="I87" s="106"/>
      <c r="J87" s="131">
        <f t="shared" si="8"/>
        <v>0</v>
      </c>
      <c r="K87" s="138"/>
    </row>
    <row r="88" spans="1:11" ht="13.8" hidden="1">
      <c r="A88" s="102">
        <v>613</v>
      </c>
      <c r="B88" s="1291" t="s">
        <v>13</v>
      </c>
      <c r="C88" s="1292"/>
      <c r="D88" s="1293"/>
      <c r="E88" s="103"/>
      <c r="F88" s="124">
        <v>1</v>
      </c>
      <c r="G88" s="103"/>
      <c r="H88" s="134">
        <v>1</v>
      </c>
      <c r="I88" s="106"/>
      <c r="J88" s="131">
        <f t="shared" si="8"/>
        <v>0</v>
      </c>
      <c r="K88" s="138"/>
    </row>
    <row r="89" spans="1:11" ht="13.8" hidden="1">
      <c r="A89" s="102">
        <v>613</v>
      </c>
      <c r="B89" s="1246" t="s">
        <v>15</v>
      </c>
      <c r="C89" s="1247"/>
      <c r="D89" s="1248"/>
      <c r="E89" s="103"/>
      <c r="F89" s="124">
        <v>1</v>
      </c>
      <c r="G89" s="103"/>
      <c r="H89" s="134">
        <v>1</v>
      </c>
      <c r="I89" s="104"/>
      <c r="J89" s="131">
        <f t="shared" si="8"/>
        <v>0</v>
      </c>
      <c r="K89" s="138"/>
    </row>
    <row r="90" spans="1:11" ht="14.4" hidden="1" thickBot="1">
      <c r="A90" s="107"/>
      <c r="B90" s="1318"/>
      <c r="C90" s="1319"/>
      <c r="D90" s="1320"/>
      <c r="E90" s="108"/>
      <c r="F90" s="124">
        <v>1</v>
      </c>
      <c r="G90" s="109"/>
      <c r="H90" s="135">
        <v>1</v>
      </c>
      <c r="I90" s="110"/>
      <c r="J90" s="132">
        <f t="shared" si="8"/>
        <v>0</v>
      </c>
      <c r="K90" s="138"/>
    </row>
    <row r="91" spans="1:11" ht="14.4" hidden="1" thickBot="1">
      <c r="A91" s="112"/>
      <c r="B91" s="142"/>
      <c r="C91" s="142"/>
      <c r="D91" s="142"/>
      <c r="E91" s="143"/>
      <c r="F91" s="144"/>
      <c r="G91" s="142"/>
      <c r="H91" s="145"/>
      <c r="I91" s="146" t="s">
        <v>95</v>
      </c>
      <c r="J91" s="147">
        <f>SUM(J84:J90)</f>
        <v>0</v>
      </c>
      <c r="K91" s="140"/>
    </row>
    <row r="92" spans="1:11" ht="13.8" hidden="1" thickBot="1"/>
    <row r="93" spans="1:11" ht="16.2" hidden="1" thickBot="1">
      <c r="A93" s="1237" t="s">
        <v>131</v>
      </c>
      <c r="B93" s="1238"/>
      <c r="C93" s="1238"/>
      <c r="D93" s="1238"/>
      <c r="E93" s="1238"/>
      <c r="F93" s="1238"/>
      <c r="G93" s="1238"/>
      <c r="H93" s="1238"/>
      <c r="I93" s="1302" t="s">
        <v>93</v>
      </c>
      <c r="J93" s="1302"/>
      <c r="K93" s="149">
        <f>K106+J116</f>
        <v>0</v>
      </c>
    </row>
    <row r="94" spans="1:11" ht="13.8" hidden="1" thickBot="1">
      <c r="A94" s="136"/>
      <c r="B94" s="137"/>
      <c r="C94" s="137"/>
      <c r="D94" s="137"/>
      <c r="E94" s="137"/>
      <c r="F94" s="137"/>
      <c r="G94" s="137"/>
      <c r="H94" s="137"/>
      <c r="I94" s="137"/>
      <c r="J94" s="137"/>
      <c r="K94" s="138"/>
    </row>
    <row r="95" spans="1:11" ht="14.4" hidden="1" thickBot="1">
      <c r="A95" s="225" t="s">
        <v>83</v>
      </c>
      <c r="B95" s="1279" t="s">
        <v>89</v>
      </c>
      <c r="C95" s="1280"/>
      <c r="D95" s="224" t="s">
        <v>43</v>
      </c>
      <c r="E95" s="223" t="s">
        <v>44</v>
      </c>
      <c r="F95" s="223" t="s">
        <v>82</v>
      </c>
      <c r="G95" s="223" t="s">
        <v>3</v>
      </c>
      <c r="H95" s="222" t="s">
        <v>4</v>
      </c>
      <c r="I95" s="222" t="s">
        <v>80</v>
      </c>
      <c r="J95" s="221" t="s">
        <v>84</v>
      </c>
      <c r="K95" s="220" t="s">
        <v>17</v>
      </c>
    </row>
    <row r="96" spans="1:11" ht="13.8" hidden="1">
      <c r="A96" s="82">
        <v>620</v>
      </c>
      <c r="B96" s="1313" t="s">
        <v>85</v>
      </c>
      <c r="C96" s="1314"/>
      <c r="D96" s="53">
        <v>2800</v>
      </c>
      <c r="E96" s="54" t="s">
        <v>45</v>
      </c>
      <c r="F96" s="219">
        <f t="shared" ref="F96:F105" si="9">IF(E96="5jours/sem", D96*3/13/5,IF(E96="6jours/sem",D96*3/13/6,""))</f>
        <v>129.23076923076923</v>
      </c>
      <c r="G96" s="55" t="s">
        <v>29</v>
      </c>
      <c r="H96" s="56"/>
      <c r="I96" s="77">
        <f t="shared" ref="I96:I105" si="10">IF(E96="",0,IF(G96="",0,IF(E96="5jours/sem",IF(G96="Jour",H96*D96*3/13/5,IF(G96="Semaine",H96*D96*3/13,IF(G96="Mois",H96*D96,0))),IF(E96="6jours/sem",IF(G96="Jour",H96*D96*3/13/6,IF(G96="Semaine",H96*D96*3/13,IF(G96="Mois",H96*D96,0)))))))</f>
        <v>0</v>
      </c>
      <c r="J96" s="218">
        <v>0</v>
      </c>
      <c r="K96" s="79">
        <f t="shared" ref="K96:K105" si="11">I96*K$1+J96*H96</f>
        <v>0</v>
      </c>
    </row>
    <row r="97" spans="1:11" ht="13.8" hidden="1">
      <c r="A97" s="82">
        <v>620</v>
      </c>
      <c r="B97" s="1272" t="s">
        <v>85</v>
      </c>
      <c r="C97" s="1273"/>
      <c r="D97" s="53">
        <v>2800</v>
      </c>
      <c r="E97" s="54" t="s">
        <v>45</v>
      </c>
      <c r="F97" s="86">
        <f t="shared" si="9"/>
        <v>129.23076923076923</v>
      </c>
      <c r="G97" s="55" t="s">
        <v>29</v>
      </c>
      <c r="H97" s="56"/>
      <c r="I97" s="77">
        <f t="shared" si="10"/>
        <v>0</v>
      </c>
      <c r="J97" s="83">
        <v>0</v>
      </c>
      <c r="K97" s="79">
        <f t="shared" si="11"/>
        <v>0</v>
      </c>
    </row>
    <row r="98" spans="1:11" ht="13.8" hidden="1">
      <c r="A98" s="82">
        <v>620</v>
      </c>
      <c r="B98" s="1272" t="s">
        <v>85</v>
      </c>
      <c r="C98" s="1273"/>
      <c r="D98" s="53">
        <v>2800</v>
      </c>
      <c r="E98" s="54" t="s">
        <v>45</v>
      </c>
      <c r="F98" s="86">
        <f t="shared" si="9"/>
        <v>129.23076923076923</v>
      </c>
      <c r="G98" s="55" t="s">
        <v>29</v>
      </c>
      <c r="H98" s="56"/>
      <c r="I98" s="77">
        <f t="shared" si="10"/>
        <v>0</v>
      </c>
      <c r="J98" s="83">
        <v>0</v>
      </c>
      <c r="K98" s="79">
        <f t="shared" si="11"/>
        <v>0</v>
      </c>
    </row>
    <row r="99" spans="1:11" ht="13.8" hidden="1">
      <c r="A99" s="82">
        <v>620</v>
      </c>
      <c r="B99" s="1272" t="s">
        <v>85</v>
      </c>
      <c r="C99" s="1273"/>
      <c r="D99" s="53">
        <v>2800</v>
      </c>
      <c r="E99" s="54" t="s">
        <v>45</v>
      </c>
      <c r="F99" s="86">
        <f t="shared" si="9"/>
        <v>129.23076923076923</v>
      </c>
      <c r="G99" s="55" t="s">
        <v>29</v>
      </c>
      <c r="H99" s="56"/>
      <c r="I99" s="77">
        <f t="shared" si="10"/>
        <v>0</v>
      </c>
      <c r="J99" s="83">
        <v>0</v>
      </c>
      <c r="K99" s="79">
        <f t="shared" si="11"/>
        <v>0</v>
      </c>
    </row>
    <row r="100" spans="1:11" ht="13.8" hidden="1">
      <c r="A100" s="82">
        <v>620</v>
      </c>
      <c r="B100" s="1272" t="s">
        <v>85</v>
      </c>
      <c r="C100" s="1273"/>
      <c r="D100" s="53">
        <v>2800</v>
      </c>
      <c r="E100" s="54" t="s">
        <v>45</v>
      </c>
      <c r="F100" s="86">
        <f t="shared" si="9"/>
        <v>129.23076923076923</v>
      </c>
      <c r="G100" s="55" t="s">
        <v>29</v>
      </c>
      <c r="H100" s="56"/>
      <c r="I100" s="77">
        <f t="shared" si="10"/>
        <v>0</v>
      </c>
      <c r="J100" s="83">
        <v>0</v>
      </c>
      <c r="K100" s="79">
        <f t="shared" si="11"/>
        <v>0</v>
      </c>
    </row>
    <row r="101" spans="1:11" ht="13.8" hidden="1">
      <c r="A101" s="82">
        <v>620</v>
      </c>
      <c r="B101" s="1272" t="s">
        <v>85</v>
      </c>
      <c r="C101" s="1273"/>
      <c r="D101" s="53">
        <v>2800</v>
      </c>
      <c r="E101" s="54" t="s">
        <v>45</v>
      </c>
      <c r="F101" s="86">
        <f t="shared" si="9"/>
        <v>129.23076923076923</v>
      </c>
      <c r="G101" s="55" t="s">
        <v>29</v>
      </c>
      <c r="H101" s="56"/>
      <c r="I101" s="77">
        <f t="shared" si="10"/>
        <v>0</v>
      </c>
      <c r="J101" s="83">
        <v>0</v>
      </c>
      <c r="K101" s="79">
        <f t="shared" si="11"/>
        <v>0</v>
      </c>
    </row>
    <row r="102" spans="1:11" ht="13.8" hidden="1">
      <c r="A102" s="82">
        <v>620</v>
      </c>
      <c r="B102" s="1272" t="s">
        <v>85</v>
      </c>
      <c r="C102" s="1273"/>
      <c r="D102" s="53">
        <v>2800</v>
      </c>
      <c r="E102" s="54" t="s">
        <v>45</v>
      </c>
      <c r="F102" s="86">
        <f t="shared" si="9"/>
        <v>129.23076923076923</v>
      </c>
      <c r="G102" s="55" t="s">
        <v>29</v>
      </c>
      <c r="H102" s="56"/>
      <c r="I102" s="77">
        <f t="shared" si="10"/>
        <v>0</v>
      </c>
      <c r="J102" s="83">
        <v>0</v>
      </c>
      <c r="K102" s="79">
        <f t="shared" si="11"/>
        <v>0</v>
      </c>
    </row>
    <row r="103" spans="1:11" ht="13.8" hidden="1">
      <c r="A103" s="82">
        <v>620</v>
      </c>
      <c r="B103" s="1272" t="s">
        <v>85</v>
      </c>
      <c r="C103" s="1273"/>
      <c r="D103" s="53">
        <v>2800</v>
      </c>
      <c r="E103" s="54" t="s">
        <v>45</v>
      </c>
      <c r="F103" s="86">
        <f t="shared" si="9"/>
        <v>129.23076923076923</v>
      </c>
      <c r="G103" s="55" t="s">
        <v>29</v>
      </c>
      <c r="H103" s="56"/>
      <c r="I103" s="77">
        <f t="shared" si="10"/>
        <v>0</v>
      </c>
      <c r="J103" s="83">
        <v>0</v>
      </c>
      <c r="K103" s="79">
        <f t="shared" si="11"/>
        <v>0</v>
      </c>
    </row>
    <row r="104" spans="1:11" ht="13.8" hidden="1">
      <c r="A104" s="82">
        <v>620</v>
      </c>
      <c r="B104" s="1272" t="s">
        <v>85</v>
      </c>
      <c r="C104" s="1273"/>
      <c r="D104" s="53">
        <v>2800</v>
      </c>
      <c r="E104" s="54" t="s">
        <v>45</v>
      </c>
      <c r="F104" s="86">
        <f t="shared" si="9"/>
        <v>129.23076923076923</v>
      </c>
      <c r="G104" s="55" t="s">
        <v>29</v>
      </c>
      <c r="H104" s="56"/>
      <c r="I104" s="77">
        <f t="shared" si="10"/>
        <v>0</v>
      </c>
      <c r="J104" s="83">
        <v>0</v>
      </c>
      <c r="K104" s="79">
        <f t="shared" si="11"/>
        <v>0</v>
      </c>
    </row>
    <row r="105" spans="1:11" ht="14.4" hidden="1" thickBot="1">
      <c r="A105" s="84">
        <v>620</v>
      </c>
      <c r="B105" s="1308" t="s">
        <v>85</v>
      </c>
      <c r="C105" s="1309"/>
      <c r="D105" s="61">
        <v>2800</v>
      </c>
      <c r="E105" s="62" t="s">
        <v>45</v>
      </c>
      <c r="F105" s="87">
        <f t="shared" si="9"/>
        <v>129.23076923076923</v>
      </c>
      <c r="G105" s="63" t="s">
        <v>29</v>
      </c>
      <c r="H105" s="64"/>
      <c r="I105" s="78">
        <f t="shared" si="10"/>
        <v>0</v>
      </c>
      <c r="J105" s="85">
        <v>0</v>
      </c>
      <c r="K105" s="79">
        <f t="shared" si="11"/>
        <v>0</v>
      </c>
    </row>
    <row r="106" spans="1:11" ht="16.2" hidden="1" thickBot="1">
      <c r="A106" s="139"/>
      <c r="B106" s="111"/>
      <c r="C106" s="66"/>
      <c r="D106" s="1331"/>
      <c r="E106" s="1331"/>
      <c r="F106" s="66"/>
      <c r="G106" s="67"/>
      <c r="H106" s="68"/>
      <c r="I106" s="1300" t="s">
        <v>94</v>
      </c>
      <c r="J106" s="1301"/>
      <c r="K106" s="122">
        <f>SUM(K96:K105)</f>
        <v>0</v>
      </c>
    </row>
    <row r="107" spans="1:11" ht="13.8" hidden="1" thickBot="1">
      <c r="A107" s="136"/>
      <c r="B107" s="137"/>
      <c r="C107" s="137"/>
      <c r="D107" s="137"/>
      <c r="E107" s="137"/>
      <c r="F107" s="137"/>
      <c r="G107" s="137"/>
      <c r="H107" s="137"/>
      <c r="I107" s="137"/>
      <c r="J107" s="137"/>
      <c r="K107" s="138"/>
    </row>
    <row r="108" spans="1:11" ht="14.4" hidden="1" thickBot="1">
      <c r="A108" s="126" t="s">
        <v>51</v>
      </c>
      <c r="B108" s="1234" t="s">
        <v>88</v>
      </c>
      <c r="C108" s="1235"/>
      <c r="D108" s="1236"/>
      <c r="E108" s="99" t="s">
        <v>6</v>
      </c>
      <c r="F108" s="127" t="s">
        <v>7</v>
      </c>
      <c r="G108" s="127" t="s">
        <v>6</v>
      </c>
      <c r="H108" s="128" t="s">
        <v>7</v>
      </c>
      <c r="I108" s="127" t="s">
        <v>33</v>
      </c>
      <c r="J108" s="129" t="s">
        <v>92</v>
      </c>
      <c r="K108" s="138"/>
    </row>
    <row r="109" spans="1:11" ht="13.8" hidden="1">
      <c r="A109" s="101">
        <v>610</v>
      </c>
      <c r="B109" s="1303" t="s">
        <v>53</v>
      </c>
      <c r="C109" s="1304"/>
      <c r="D109" s="1305"/>
      <c r="E109" s="123"/>
      <c r="F109" s="124">
        <v>1</v>
      </c>
      <c r="G109" s="123"/>
      <c r="H109" s="133">
        <v>1</v>
      </c>
      <c r="I109" s="125"/>
      <c r="J109" s="130">
        <f t="shared" ref="J109:J115" si="12">F109*H109*I109</f>
        <v>0</v>
      </c>
      <c r="K109" s="138"/>
    </row>
    <row r="110" spans="1:11" ht="13.8" hidden="1">
      <c r="A110" s="101">
        <v>611</v>
      </c>
      <c r="B110" s="1246" t="s">
        <v>11</v>
      </c>
      <c r="C110" s="1247"/>
      <c r="D110" s="1248"/>
      <c r="E110" s="123"/>
      <c r="F110" s="124">
        <v>1</v>
      </c>
      <c r="G110" s="123"/>
      <c r="H110" s="133">
        <v>1</v>
      </c>
      <c r="I110" s="125"/>
      <c r="J110" s="130">
        <f t="shared" si="12"/>
        <v>0</v>
      </c>
      <c r="K110" s="138"/>
    </row>
    <row r="111" spans="1:11" ht="13.8" hidden="1">
      <c r="A111" s="102">
        <v>611</v>
      </c>
      <c r="B111" s="1246" t="s">
        <v>12</v>
      </c>
      <c r="C111" s="1247"/>
      <c r="D111" s="1248"/>
      <c r="E111" s="103"/>
      <c r="F111" s="124">
        <v>1</v>
      </c>
      <c r="G111" s="103"/>
      <c r="H111" s="134">
        <v>1</v>
      </c>
      <c r="I111" s="104"/>
      <c r="J111" s="131">
        <f t="shared" si="12"/>
        <v>0</v>
      </c>
      <c r="K111" s="138"/>
    </row>
    <row r="112" spans="1:11" ht="13.8" hidden="1">
      <c r="A112" s="102">
        <v>613</v>
      </c>
      <c r="B112" s="1291" t="s">
        <v>14</v>
      </c>
      <c r="C112" s="1292"/>
      <c r="D112" s="1293"/>
      <c r="E112" s="103"/>
      <c r="F112" s="124">
        <v>1</v>
      </c>
      <c r="G112" s="103"/>
      <c r="H112" s="134">
        <v>1</v>
      </c>
      <c r="I112" s="106"/>
      <c r="J112" s="131">
        <f t="shared" si="12"/>
        <v>0</v>
      </c>
      <c r="K112" s="138"/>
    </row>
    <row r="113" spans="1:11" ht="13.8" hidden="1">
      <c r="A113" s="102">
        <v>613</v>
      </c>
      <c r="B113" s="1291" t="s">
        <v>13</v>
      </c>
      <c r="C113" s="1292"/>
      <c r="D113" s="1293"/>
      <c r="E113" s="103"/>
      <c r="F113" s="124">
        <v>1</v>
      </c>
      <c r="G113" s="103"/>
      <c r="H113" s="134">
        <v>1</v>
      </c>
      <c r="I113" s="106"/>
      <c r="J113" s="131">
        <f t="shared" si="12"/>
        <v>0</v>
      </c>
      <c r="K113" s="138"/>
    </row>
    <row r="114" spans="1:11" ht="13.8" hidden="1">
      <c r="A114" s="102">
        <v>613</v>
      </c>
      <c r="B114" s="1246" t="s">
        <v>15</v>
      </c>
      <c r="C114" s="1247"/>
      <c r="D114" s="1248"/>
      <c r="E114" s="103"/>
      <c r="F114" s="124">
        <v>1</v>
      </c>
      <c r="G114" s="103"/>
      <c r="H114" s="134">
        <v>1</v>
      </c>
      <c r="I114" s="104"/>
      <c r="J114" s="131">
        <f t="shared" si="12"/>
        <v>0</v>
      </c>
      <c r="K114" s="138"/>
    </row>
    <row r="115" spans="1:11" ht="14.4" hidden="1" thickBot="1">
      <c r="A115" s="107"/>
      <c r="B115" s="1318"/>
      <c r="C115" s="1319"/>
      <c r="D115" s="1320"/>
      <c r="E115" s="108"/>
      <c r="F115" s="124">
        <v>1</v>
      </c>
      <c r="G115" s="109"/>
      <c r="H115" s="135">
        <v>1</v>
      </c>
      <c r="I115" s="110"/>
      <c r="J115" s="132">
        <f t="shared" si="12"/>
        <v>0</v>
      </c>
      <c r="K115" s="138"/>
    </row>
    <row r="116" spans="1:11" ht="14.4" hidden="1" thickBot="1">
      <c r="A116" s="112"/>
      <c r="B116" s="142"/>
      <c r="C116" s="142"/>
      <c r="D116" s="142"/>
      <c r="E116" s="143"/>
      <c r="F116" s="144"/>
      <c r="G116" s="142"/>
      <c r="H116" s="145"/>
      <c r="I116" s="146" t="s">
        <v>95</v>
      </c>
      <c r="J116" s="147">
        <f>SUM(J109:J115)</f>
        <v>0</v>
      </c>
      <c r="K116" s="140"/>
    </row>
    <row r="117" spans="1:11" ht="13.8" hidden="1" thickBot="1"/>
    <row r="118" spans="1:11" ht="16.2" hidden="1" thickBot="1">
      <c r="A118" s="1237" t="s">
        <v>130</v>
      </c>
      <c r="B118" s="1238"/>
      <c r="C118" s="1238"/>
      <c r="D118" s="1238"/>
      <c r="E118" s="1238"/>
      <c r="F118" s="1238"/>
      <c r="G118" s="1238"/>
      <c r="H118" s="1238"/>
      <c r="I118" s="1302" t="s">
        <v>93</v>
      </c>
      <c r="J118" s="1302"/>
      <c r="K118" s="149">
        <f>K131+J141</f>
        <v>0</v>
      </c>
    </row>
    <row r="119" spans="1:11" ht="13.8" hidden="1" thickBot="1">
      <c r="A119" s="136"/>
      <c r="B119" s="137"/>
      <c r="C119" s="137"/>
      <c r="D119" s="137"/>
      <c r="E119" s="137"/>
      <c r="F119" s="137"/>
      <c r="G119" s="137"/>
      <c r="H119" s="137"/>
      <c r="I119" s="137"/>
      <c r="J119" s="137"/>
      <c r="K119" s="138"/>
    </row>
    <row r="120" spans="1:11" ht="14.4" hidden="1" thickBot="1">
      <c r="A120" s="225" t="s">
        <v>83</v>
      </c>
      <c r="B120" s="1279" t="s">
        <v>89</v>
      </c>
      <c r="C120" s="1280"/>
      <c r="D120" s="224" t="s">
        <v>43</v>
      </c>
      <c r="E120" s="223" t="s">
        <v>44</v>
      </c>
      <c r="F120" s="223" t="s">
        <v>82</v>
      </c>
      <c r="G120" s="223" t="s">
        <v>3</v>
      </c>
      <c r="H120" s="222" t="s">
        <v>4</v>
      </c>
      <c r="I120" s="222" t="s">
        <v>80</v>
      </c>
      <c r="J120" s="221" t="s">
        <v>84</v>
      </c>
      <c r="K120" s="220" t="s">
        <v>17</v>
      </c>
    </row>
    <row r="121" spans="1:11" ht="13.8" hidden="1">
      <c r="A121" s="82">
        <v>620</v>
      </c>
      <c r="B121" s="1313" t="s">
        <v>85</v>
      </c>
      <c r="C121" s="1314"/>
      <c r="D121" s="53">
        <v>2800</v>
      </c>
      <c r="E121" s="54" t="s">
        <v>45</v>
      </c>
      <c r="F121" s="219">
        <f t="shared" ref="F121:F130" si="13">IF(E121="5jours/sem", D121*3/13/5,IF(E121="6jours/sem",D121*3/13/6,""))</f>
        <v>129.23076923076923</v>
      </c>
      <c r="G121" s="55" t="s">
        <v>29</v>
      </c>
      <c r="H121" s="56"/>
      <c r="I121" s="77">
        <f t="shared" ref="I121:I130" si="14">IF(E121="",0,IF(G121="",0,IF(E121="5jours/sem",IF(G121="Jour",H121*D121*3/13/5,IF(G121="Semaine",H121*D121*3/13,IF(G121="Mois",H121*D121,0))),IF(E121="6jours/sem",IF(G121="Jour",H121*D121*3/13/6,IF(G121="Semaine",H121*D121*3/13,IF(G121="Mois",H121*D121,0)))))))</f>
        <v>0</v>
      </c>
      <c r="J121" s="218">
        <v>0</v>
      </c>
      <c r="K121" s="79">
        <f t="shared" ref="K121:K130" si="15">I121*K$1+J121*H121</f>
        <v>0</v>
      </c>
    </row>
    <row r="122" spans="1:11" ht="13.8" hidden="1">
      <c r="A122" s="82">
        <v>620</v>
      </c>
      <c r="B122" s="1272" t="s">
        <v>85</v>
      </c>
      <c r="C122" s="1273"/>
      <c r="D122" s="53">
        <v>2800</v>
      </c>
      <c r="E122" s="54" t="s">
        <v>45</v>
      </c>
      <c r="F122" s="86">
        <f t="shared" si="13"/>
        <v>129.23076923076923</v>
      </c>
      <c r="G122" s="55" t="s">
        <v>29</v>
      </c>
      <c r="H122" s="56"/>
      <c r="I122" s="77">
        <f t="shared" si="14"/>
        <v>0</v>
      </c>
      <c r="J122" s="83">
        <v>0</v>
      </c>
      <c r="K122" s="79">
        <f t="shared" si="15"/>
        <v>0</v>
      </c>
    </row>
    <row r="123" spans="1:11" ht="13.8" hidden="1">
      <c r="A123" s="82">
        <v>620</v>
      </c>
      <c r="B123" s="1272" t="s">
        <v>85</v>
      </c>
      <c r="C123" s="1273"/>
      <c r="D123" s="53">
        <v>2800</v>
      </c>
      <c r="E123" s="54" t="s">
        <v>45</v>
      </c>
      <c r="F123" s="86">
        <f t="shared" si="13"/>
        <v>129.23076923076923</v>
      </c>
      <c r="G123" s="55" t="s">
        <v>29</v>
      </c>
      <c r="H123" s="56"/>
      <c r="I123" s="77">
        <f t="shared" si="14"/>
        <v>0</v>
      </c>
      <c r="J123" s="83">
        <v>0</v>
      </c>
      <c r="K123" s="79">
        <f t="shared" si="15"/>
        <v>0</v>
      </c>
    </row>
    <row r="124" spans="1:11" ht="13.8" hidden="1">
      <c r="A124" s="82">
        <v>620</v>
      </c>
      <c r="B124" s="1272" t="s">
        <v>85</v>
      </c>
      <c r="C124" s="1273"/>
      <c r="D124" s="53">
        <v>2800</v>
      </c>
      <c r="E124" s="54" t="s">
        <v>45</v>
      </c>
      <c r="F124" s="86">
        <f t="shared" si="13"/>
        <v>129.23076923076923</v>
      </c>
      <c r="G124" s="55" t="s">
        <v>29</v>
      </c>
      <c r="H124" s="56"/>
      <c r="I124" s="77">
        <f t="shared" si="14"/>
        <v>0</v>
      </c>
      <c r="J124" s="83">
        <v>0</v>
      </c>
      <c r="K124" s="79">
        <f t="shared" si="15"/>
        <v>0</v>
      </c>
    </row>
    <row r="125" spans="1:11" ht="13.8" hidden="1">
      <c r="A125" s="82">
        <v>620</v>
      </c>
      <c r="B125" s="1272" t="s">
        <v>85</v>
      </c>
      <c r="C125" s="1273"/>
      <c r="D125" s="53">
        <v>2800</v>
      </c>
      <c r="E125" s="54" t="s">
        <v>45</v>
      </c>
      <c r="F125" s="86">
        <f t="shared" si="13"/>
        <v>129.23076923076923</v>
      </c>
      <c r="G125" s="55" t="s">
        <v>29</v>
      </c>
      <c r="H125" s="56"/>
      <c r="I125" s="77">
        <f t="shared" si="14"/>
        <v>0</v>
      </c>
      <c r="J125" s="83">
        <v>0</v>
      </c>
      <c r="K125" s="79">
        <f t="shared" si="15"/>
        <v>0</v>
      </c>
    </row>
    <row r="126" spans="1:11" ht="13.8" hidden="1">
      <c r="A126" s="82">
        <v>620</v>
      </c>
      <c r="B126" s="1272" t="s">
        <v>85</v>
      </c>
      <c r="C126" s="1273"/>
      <c r="D126" s="53">
        <v>2800</v>
      </c>
      <c r="E126" s="54" t="s">
        <v>45</v>
      </c>
      <c r="F126" s="86">
        <f t="shared" si="13"/>
        <v>129.23076923076923</v>
      </c>
      <c r="G126" s="55" t="s">
        <v>29</v>
      </c>
      <c r="H126" s="56"/>
      <c r="I126" s="77">
        <f t="shared" si="14"/>
        <v>0</v>
      </c>
      <c r="J126" s="83">
        <v>0</v>
      </c>
      <c r="K126" s="79">
        <f t="shared" si="15"/>
        <v>0</v>
      </c>
    </row>
    <row r="127" spans="1:11" ht="13.8" hidden="1">
      <c r="A127" s="82">
        <v>620</v>
      </c>
      <c r="B127" s="1272" t="s">
        <v>85</v>
      </c>
      <c r="C127" s="1273"/>
      <c r="D127" s="53">
        <v>2800</v>
      </c>
      <c r="E127" s="54" t="s">
        <v>45</v>
      </c>
      <c r="F127" s="86">
        <f t="shared" si="13"/>
        <v>129.23076923076923</v>
      </c>
      <c r="G127" s="55" t="s">
        <v>29</v>
      </c>
      <c r="H127" s="56"/>
      <c r="I127" s="77">
        <f t="shared" si="14"/>
        <v>0</v>
      </c>
      <c r="J127" s="83">
        <v>0</v>
      </c>
      <c r="K127" s="79">
        <f t="shared" si="15"/>
        <v>0</v>
      </c>
    </row>
    <row r="128" spans="1:11" ht="13.8" hidden="1">
      <c r="A128" s="82">
        <v>620</v>
      </c>
      <c r="B128" s="1272" t="s">
        <v>85</v>
      </c>
      <c r="C128" s="1273"/>
      <c r="D128" s="53">
        <v>2800</v>
      </c>
      <c r="E128" s="54" t="s">
        <v>45</v>
      </c>
      <c r="F128" s="86">
        <f t="shared" si="13"/>
        <v>129.23076923076923</v>
      </c>
      <c r="G128" s="55" t="s">
        <v>29</v>
      </c>
      <c r="H128" s="56"/>
      <c r="I128" s="77">
        <f t="shared" si="14"/>
        <v>0</v>
      </c>
      <c r="J128" s="83">
        <v>0</v>
      </c>
      <c r="K128" s="79">
        <f t="shared" si="15"/>
        <v>0</v>
      </c>
    </row>
    <row r="129" spans="1:11" ht="13.8" hidden="1">
      <c r="A129" s="82">
        <v>620</v>
      </c>
      <c r="B129" s="1272" t="s">
        <v>85</v>
      </c>
      <c r="C129" s="1273"/>
      <c r="D129" s="53">
        <v>2800</v>
      </c>
      <c r="E129" s="54" t="s">
        <v>45</v>
      </c>
      <c r="F129" s="86">
        <f t="shared" si="13"/>
        <v>129.23076923076923</v>
      </c>
      <c r="G129" s="55" t="s">
        <v>29</v>
      </c>
      <c r="H129" s="56"/>
      <c r="I129" s="77">
        <f t="shared" si="14"/>
        <v>0</v>
      </c>
      <c r="J129" s="83">
        <v>0</v>
      </c>
      <c r="K129" s="79">
        <f t="shared" si="15"/>
        <v>0</v>
      </c>
    </row>
    <row r="130" spans="1:11" ht="14.4" hidden="1" thickBot="1">
      <c r="A130" s="84">
        <v>620</v>
      </c>
      <c r="B130" s="1308" t="s">
        <v>85</v>
      </c>
      <c r="C130" s="1309"/>
      <c r="D130" s="61">
        <v>2800</v>
      </c>
      <c r="E130" s="62" t="s">
        <v>45</v>
      </c>
      <c r="F130" s="87">
        <f t="shared" si="13"/>
        <v>129.23076923076923</v>
      </c>
      <c r="G130" s="63" t="s">
        <v>29</v>
      </c>
      <c r="H130" s="64"/>
      <c r="I130" s="78">
        <f t="shared" si="14"/>
        <v>0</v>
      </c>
      <c r="J130" s="85">
        <v>0</v>
      </c>
      <c r="K130" s="79">
        <f t="shared" si="15"/>
        <v>0</v>
      </c>
    </row>
    <row r="131" spans="1:11" ht="16.2" hidden="1" thickBot="1">
      <c r="A131" s="139"/>
      <c r="B131" s="111"/>
      <c r="C131" s="66"/>
      <c r="D131" s="1331"/>
      <c r="E131" s="1331"/>
      <c r="F131" s="66"/>
      <c r="G131" s="67"/>
      <c r="H131" s="68"/>
      <c r="I131" s="1300" t="s">
        <v>94</v>
      </c>
      <c r="J131" s="1301"/>
      <c r="K131" s="122">
        <f>SUM(K121:K130)</f>
        <v>0</v>
      </c>
    </row>
    <row r="132" spans="1:11" ht="13.8" hidden="1" thickBot="1">
      <c r="A132" s="136"/>
      <c r="B132" s="137"/>
      <c r="C132" s="137"/>
      <c r="D132" s="137"/>
      <c r="E132" s="137"/>
      <c r="F132" s="137"/>
      <c r="G132" s="137"/>
      <c r="H132" s="137"/>
      <c r="I132" s="137"/>
      <c r="J132" s="137"/>
      <c r="K132" s="138"/>
    </row>
    <row r="133" spans="1:11" ht="14.4" hidden="1" thickBot="1">
      <c r="A133" s="126" t="s">
        <v>51</v>
      </c>
      <c r="B133" s="1234" t="s">
        <v>88</v>
      </c>
      <c r="C133" s="1235"/>
      <c r="D133" s="1236"/>
      <c r="E133" s="99" t="s">
        <v>6</v>
      </c>
      <c r="F133" s="127" t="s">
        <v>7</v>
      </c>
      <c r="G133" s="127" t="s">
        <v>6</v>
      </c>
      <c r="H133" s="128" t="s">
        <v>7</v>
      </c>
      <c r="I133" s="127" t="s">
        <v>33</v>
      </c>
      <c r="J133" s="129" t="s">
        <v>92</v>
      </c>
      <c r="K133" s="138"/>
    </row>
    <row r="134" spans="1:11" ht="13.8" hidden="1">
      <c r="A134" s="101">
        <v>610</v>
      </c>
      <c r="B134" s="1303" t="s">
        <v>53</v>
      </c>
      <c r="C134" s="1304"/>
      <c r="D134" s="1305"/>
      <c r="E134" s="123"/>
      <c r="F134" s="124">
        <v>1</v>
      </c>
      <c r="G134" s="123"/>
      <c r="H134" s="133">
        <v>1</v>
      </c>
      <c r="I134" s="125"/>
      <c r="J134" s="130">
        <f t="shared" ref="J134:J140" si="16">F134*H134*I134</f>
        <v>0</v>
      </c>
      <c r="K134" s="138"/>
    </row>
    <row r="135" spans="1:11" ht="13.8" hidden="1">
      <c r="A135" s="101">
        <v>611</v>
      </c>
      <c r="B135" s="1246" t="s">
        <v>11</v>
      </c>
      <c r="C135" s="1247"/>
      <c r="D135" s="1248"/>
      <c r="E135" s="123"/>
      <c r="F135" s="124">
        <v>1</v>
      </c>
      <c r="G135" s="123"/>
      <c r="H135" s="133">
        <v>1</v>
      </c>
      <c r="I135" s="125"/>
      <c r="J135" s="130">
        <f t="shared" si="16"/>
        <v>0</v>
      </c>
      <c r="K135" s="138"/>
    </row>
    <row r="136" spans="1:11" ht="13.8" hidden="1">
      <c r="A136" s="102">
        <v>611</v>
      </c>
      <c r="B136" s="1246" t="s">
        <v>12</v>
      </c>
      <c r="C136" s="1247"/>
      <c r="D136" s="1248"/>
      <c r="E136" s="103"/>
      <c r="F136" s="124">
        <v>1</v>
      </c>
      <c r="G136" s="103"/>
      <c r="H136" s="134">
        <v>1</v>
      </c>
      <c r="I136" s="104"/>
      <c r="J136" s="131">
        <f t="shared" si="16"/>
        <v>0</v>
      </c>
      <c r="K136" s="138"/>
    </row>
    <row r="137" spans="1:11" ht="13.8" hidden="1">
      <c r="A137" s="102">
        <v>613</v>
      </c>
      <c r="B137" s="1291" t="s">
        <v>14</v>
      </c>
      <c r="C137" s="1292"/>
      <c r="D137" s="1293"/>
      <c r="E137" s="103"/>
      <c r="F137" s="124">
        <v>1</v>
      </c>
      <c r="G137" s="103"/>
      <c r="H137" s="134">
        <v>1</v>
      </c>
      <c r="I137" s="106"/>
      <c r="J137" s="131">
        <f t="shared" si="16"/>
        <v>0</v>
      </c>
      <c r="K137" s="138"/>
    </row>
    <row r="138" spans="1:11" ht="13.8" hidden="1">
      <c r="A138" s="102">
        <v>613</v>
      </c>
      <c r="B138" s="1291" t="s">
        <v>13</v>
      </c>
      <c r="C138" s="1292"/>
      <c r="D138" s="1293"/>
      <c r="E138" s="103"/>
      <c r="F138" s="124">
        <v>1</v>
      </c>
      <c r="G138" s="103"/>
      <c r="H138" s="134">
        <v>1</v>
      </c>
      <c r="I138" s="106"/>
      <c r="J138" s="131">
        <f t="shared" si="16"/>
        <v>0</v>
      </c>
      <c r="K138" s="138"/>
    </row>
    <row r="139" spans="1:11" ht="13.8" hidden="1">
      <c r="A139" s="102">
        <v>613</v>
      </c>
      <c r="B139" s="1246" t="s">
        <v>15</v>
      </c>
      <c r="C139" s="1247"/>
      <c r="D139" s="1248"/>
      <c r="E139" s="103"/>
      <c r="F139" s="124">
        <v>1</v>
      </c>
      <c r="G139" s="103"/>
      <c r="H139" s="134">
        <v>1</v>
      </c>
      <c r="I139" s="104"/>
      <c r="J139" s="131">
        <f t="shared" si="16"/>
        <v>0</v>
      </c>
      <c r="K139" s="138"/>
    </row>
    <row r="140" spans="1:11" ht="14.4" hidden="1" thickBot="1">
      <c r="A140" s="107"/>
      <c r="B140" s="1318"/>
      <c r="C140" s="1319"/>
      <c r="D140" s="1320"/>
      <c r="E140" s="108"/>
      <c r="F140" s="124">
        <v>1</v>
      </c>
      <c r="G140" s="109"/>
      <c r="H140" s="135">
        <v>1</v>
      </c>
      <c r="I140" s="110"/>
      <c r="J140" s="132">
        <f t="shared" si="16"/>
        <v>0</v>
      </c>
      <c r="K140" s="138"/>
    </row>
    <row r="141" spans="1:11" ht="14.4" hidden="1" thickBot="1">
      <c r="A141" s="112"/>
      <c r="B141" s="142"/>
      <c r="C141" s="142"/>
      <c r="D141" s="142"/>
      <c r="E141" s="143"/>
      <c r="F141" s="144"/>
      <c r="G141" s="142"/>
      <c r="H141" s="145"/>
      <c r="I141" s="146" t="s">
        <v>95</v>
      </c>
      <c r="J141" s="147">
        <f>SUM(J134:J140)</f>
        <v>0</v>
      </c>
      <c r="K141" s="140"/>
    </row>
    <row r="142" spans="1:11" ht="13.8" hidden="1" thickBot="1"/>
    <row r="143" spans="1:11" ht="16.2" hidden="1" thickBot="1">
      <c r="A143" s="1237" t="s">
        <v>96</v>
      </c>
      <c r="B143" s="1238"/>
      <c r="C143" s="1238"/>
      <c r="D143" s="1238"/>
      <c r="E143" s="1238"/>
      <c r="F143" s="1238"/>
      <c r="G143" s="1238"/>
      <c r="H143" s="1238"/>
      <c r="I143" s="1302" t="s">
        <v>93</v>
      </c>
      <c r="J143" s="1302"/>
      <c r="K143" s="149">
        <f>K156+J166</f>
        <v>0</v>
      </c>
    </row>
    <row r="144" spans="1:11" ht="13.8" hidden="1" thickBot="1">
      <c r="A144" s="136"/>
      <c r="B144" s="137"/>
      <c r="C144" s="137"/>
      <c r="D144" s="137"/>
      <c r="E144" s="137"/>
      <c r="F144" s="137"/>
      <c r="G144" s="137"/>
      <c r="H144" s="137"/>
      <c r="I144" s="137"/>
      <c r="J144" s="137"/>
      <c r="K144" s="138"/>
    </row>
    <row r="145" spans="1:11" ht="14.4" hidden="1" thickBot="1">
      <c r="A145" s="225" t="s">
        <v>83</v>
      </c>
      <c r="B145" s="1279" t="s">
        <v>89</v>
      </c>
      <c r="C145" s="1280"/>
      <c r="D145" s="224" t="s">
        <v>43</v>
      </c>
      <c r="E145" s="223" t="s">
        <v>44</v>
      </c>
      <c r="F145" s="223" t="s">
        <v>82</v>
      </c>
      <c r="G145" s="223" t="s">
        <v>3</v>
      </c>
      <c r="H145" s="222" t="s">
        <v>4</v>
      </c>
      <c r="I145" s="222" t="s">
        <v>80</v>
      </c>
      <c r="J145" s="221" t="s">
        <v>84</v>
      </c>
      <c r="K145" s="220" t="s">
        <v>17</v>
      </c>
    </row>
    <row r="146" spans="1:11" ht="13.8" hidden="1">
      <c r="A146" s="82">
        <v>620</v>
      </c>
      <c r="B146" s="1313" t="s">
        <v>85</v>
      </c>
      <c r="C146" s="1314"/>
      <c r="D146" s="53">
        <v>2800</v>
      </c>
      <c r="E146" s="54" t="s">
        <v>45</v>
      </c>
      <c r="F146" s="219">
        <f t="shared" ref="F146:F155" si="17">IF(E146="5jours/sem", D146*3/13/5,IF(E146="6jours/sem",D146*3/13/6,""))</f>
        <v>129.23076923076923</v>
      </c>
      <c r="G146" s="55" t="s">
        <v>29</v>
      </c>
      <c r="H146" s="56"/>
      <c r="I146" s="77">
        <f t="shared" ref="I146:I155" si="18">IF(E146="",0,IF(G146="",0,IF(E146="5jours/sem",IF(G146="Jour",H146*D146*3/13/5,IF(G146="Semaine",H146*D146*3/13,IF(G146="Mois",H146*D146,0))),IF(E146="6jours/sem",IF(G146="Jour",H146*D146*3/13/6,IF(G146="Semaine",H146*D146*3/13,IF(G146="Mois",H146*D146,0)))))))</f>
        <v>0</v>
      </c>
      <c r="J146" s="218">
        <v>0</v>
      </c>
      <c r="K146" s="79">
        <f t="shared" ref="K146:K155" si="19">I146*K$1+J146*H146</f>
        <v>0</v>
      </c>
    </row>
    <row r="147" spans="1:11" ht="13.8" hidden="1">
      <c r="A147" s="82">
        <v>620</v>
      </c>
      <c r="B147" s="1272" t="s">
        <v>85</v>
      </c>
      <c r="C147" s="1273"/>
      <c r="D147" s="53">
        <v>2800</v>
      </c>
      <c r="E147" s="54" t="s">
        <v>45</v>
      </c>
      <c r="F147" s="86">
        <f t="shared" si="17"/>
        <v>129.23076923076923</v>
      </c>
      <c r="G147" s="55" t="s">
        <v>29</v>
      </c>
      <c r="H147" s="56"/>
      <c r="I147" s="77">
        <f t="shared" si="18"/>
        <v>0</v>
      </c>
      <c r="J147" s="83">
        <v>0</v>
      </c>
      <c r="K147" s="79">
        <f t="shared" si="19"/>
        <v>0</v>
      </c>
    </row>
    <row r="148" spans="1:11" ht="13.8" hidden="1">
      <c r="A148" s="82">
        <v>620</v>
      </c>
      <c r="B148" s="1272" t="s">
        <v>85</v>
      </c>
      <c r="C148" s="1273"/>
      <c r="D148" s="53">
        <v>2800</v>
      </c>
      <c r="E148" s="54" t="s">
        <v>45</v>
      </c>
      <c r="F148" s="86">
        <f t="shared" si="17"/>
        <v>129.23076923076923</v>
      </c>
      <c r="G148" s="55" t="s">
        <v>29</v>
      </c>
      <c r="H148" s="56"/>
      <c r="I148" s="77">
        <f t="shared" si="18"/>
        <v>0</v>
      </c>
      <c r="J148" s="83">
        <v>0</v>
      </c>
      <c r="K148" s="79">
        <f t="shared" si="19"/>
        <v>0</v>
      </c>
    </row>
    <row r="149" spans="1:11" ht="13.8" hidden="1">
      <c r="A149" s="82">
        <v>620</v>
      </c>
      <c r="B149" s="1272" t="s">
        <v>85</v>
      </c>
      <c r="C149" s="1273"/>
      <c r="D149" s="53">
        <v>2800</v>
      </c>
      <c r="E149" s="54" t="s">
        <v>45</v>
      </c>
      <c r="F149" s="86">
        <f t="shared" si="17"/>
        <v>129.23076923076923</v>
      </c>
      <c r="G149" s="55" t="s">
        <v>29</v>
      </c>
      <c r="H149" s="56"/>
      <c r="I149" s="77">
        <f t="shared" si="18"/>
        <v>0</v>
      </c>
      <c r="J149" s="83">
        <v>0</v>
      </c>
      <c r="K149" s="79">
        <f t="shared" si="19"/>
        <v>0</v>
      </c>
    </row>
    <row r="150" spans="1:11" ht="13.8" hidden="1">
      <c r="A150" s="82">
        <v>620</v>
      </c>
      <c r="B150" s="1272" t="s">
        <v>85</v>
      </c>
      <c r="C150" s="1273"/>
      <c r="D150" s="53">
        <v>2800</v>
      </c>
      <c r="E150" s="54" t="s">
        <v>45</v>
      </c>
      <c r="F150" s="86">
        <f t="shared" si="17"/>
        <v>129.23076923076923</v>
      </c>
      <c r="G150" s="55" t="s">
        <v>29</v>
      </c>
      <c r="H150" s="56"/>
      <c r="I150" s="77">
        <f t="shared" si="18"/>
        <v>0</v>
      </c>
      <c r="J150" s="83">
        <v>0</v>
      </c>
      <c r="K150" s="79">
        <f t="shared" si="19"/>
        <v>0</v>
      </c>
    </row>
    <row r="151" spans="1:11" ht="13.8" hidden="1">
      <c r="A151" s="82">
        <v>620</v>
      </c>
      <c r="B151" s="1272" t="s">
        <v>85</v>
      </c>
      <c r="C151" s="1273"/>
      <c r="D151" s="53">
        <v>2800</v>
      </c>
      <c r="E151" s="54" t="s">
        <v>45</v>
      </c>
      <c r="F151" s="86">
        <f t="shared" si="17"/>
        <v>129.23076923076923</v>
      </c>
      <c r="G151" s="55" t="s">
        <v>29</v>
      </c>
      <c r="H151" s="56"/>
      <c r="I151" s="77">
        <f t="shared" si="18"/>
        <v>0</v>
      </c>
      <c r="J151" s="83">
        <v>0</v>
      </c>
      <c r="K151" s="79">
        <f t="shared" si="19"/>
        <v>0</v>
      </c>
    </row>
    <row r="152" spans="1:11" ht="13.8" hidden="1">
      <c r="A152" s="82">
        <v>620</v>
      </c>
      <c r="B152" s="1272" t="s">
        <v>85</v>
      </c>
      <c r="C152" s="1273"/>
      <c r="D152" s="53">
        <v>2800</v>
      </c>
      <c r="E152" s="54" t="s">
        <v>45</v>
      </c>
      <c r="F152" s="86">
        <f t="shared" si="17"/>
        <v>129.23076923076923</v>
      </c>
      <c r="G152" s="55" t="s">
        <v>29</v>
      </c>
      <c r="H152" s="56"/>
      <c r="I152" s="77">
        <f t="shared" si="18"/>
        <v>0</v>
      </c>
      <c r="J152" s="83">
        <v>0</v>
      </c>
      <c r="K152" s="79">
        <f t="shared" si="19"/>
        <v>0</v>
      </c>
    </row>
    <row r="153" spans="1:11" ht="13.8" hidden="1">
      <c r="A153" s="82">
        <v>620</v>
      </c>
      <c r="B153" s="1272" t="s">
        <v>85</v>
      </c>
      <c r="C153" s="1273"/>
      <c r="D153" s="53">
        <v>2800</v>
      </c>
      <c r="E153" s="54" t="s">
        <v>45</v>
      </c>
      <c r="F153" s="86">
        <f t="shared" si="17"/>
        <v>129.23076923076923</v>
      </c>
      <c r="G153" s="55" t="s">
        <v>29</v>
      </c>
      <c r="H153" s="56"/>
      <c r="I153" s="77">
        <f t="shared" si="18"/>
        <v>0</v>
      </c>
      <c r="J153" s="83">
        <v>0</v>
      </c>
      <c r="K153" s="79">
        <f t="shared" si="19"/>
        <v>0</v>
      </c>
    </row>
    <row r="154" spans="1:11" ht="13.8" hidden="1">
      <c r="A154" s="82">
        <v>620</v>
      </c>
      <c r="B154" s="1272" t="s">
        <v>85</v>
      </c>
      <c r="C154" s="1273"/>
      <c r="D154" s="53">
        <v>2800</v>
      </c>
      <c r="E154" s="54" t="s">
        <v>45</v>
      </c>
      <c r="F154" s="86">
        <f t="shared" si="17"/>
        <v>129.23076923076923</v>
      </c>
      <c r="G154" s="55" t="s">
        <v>29</v>
      </c>
      <c r="H154" s="56"/>
      <c r="I154" s="77">
        <f t="shared" si="18"/>
        <v>0</v>
      </c>
      <c r="J154" s="83">
        <v>0</v>
      </c>
      <c r="K154" s="79">
        <f t="shared" si="19"/>
        <v>0</v>
      </c>
    </row>
    <row r="155" spans="1:11" ht="14.4" hidden="1" thickBot="1">
      <c r="A155" s="84">
        <v>620</v>
      </c>
      <c r="B155" s="1308" t="s">
        <v>85</v>
      </c>
      <c r="C155" s="1309"/>
      <c r="D155" s="61">
        <v>2800</v>
      </c>
      <c r="E155" s="62" t="s">
        <v>45</v>
      </c>
      <c r="F155" s="87">
        <f t="shared" si="17"/>
        <v>129.23076923076923</v>
      </c>
      <c r="G155" s="63" t="s">
        <v>29</v>
      </c>
      <c r="H155" s="64"/>
      <c r="I155" s="78">
        <f t="shared" si="18"/>
        <v>0</v>
      </c>
      <c r="J155" s="85">
        <v>0</v>
      </c>
      <c r="K155" s="79">
        <f t="shared" si="19"/>
        <v>0</v>
      </c>
    </row>
    <row r="156" spans="1:11" ht="16.2" hidden="1" thickBot="1">
      <c r="A156" s="139"/>
      <c r="B156" s="111"/>
      <c r="C156" s="66"/>
      <c r="D156" s="1331"/>
      <c r="E156" s="1331"/>
      <c r="F156" s="66"/>
      <c r="G156" s="67"/>
      <c r="H156" s="68"/>
      <c r="I156" s="1300" t="s">
        <v>94</v>
      </c>
      <c r="J156" s="1301"/>
      <c r="K156" s="122">
        <f>SUM(K146:K155)</f>
        <v>0</v>
      </c>
    </row>
    <row r="157" spans="1:11" ht="13.8" hidden="1" thickBot="1">
      <c r="A157" s="136"/>
      <c r="B157" s="137"/>
      <c r="C157" s="137"/>
      <c r="D157" s="137"/>
      <c r="E157" s="137"/>
      <c r="F157" s="137"/>
      <c r="G157" s="137"/>
      <c r="H157" s="137"/>
      <c r="I157" s="137"/>
      <c r="J157" s="137"/>
      <c r="K157" s="138"/>
    </row>
    <row r="158" spans="1:11" ht="14.4" hidden="1" thickBot="1">
      <c r="A158" s="126" t="s">
        <v>51</v>
      </c>
      <c r="B158" s="1234" t="s">
        <v>88</v>
      </c>
      <c r="C158" s="1235"/>
      <c r="D158" s="1236"/>
      <c r="E158" s="99" t="s">
        <v>6</v>
      </c>
      <c r="F158" s="127" t="s">
        <v>7</v>
      </c>
      <c r="G158" s="127" t="s">
        <v>6</v>
      </c>
      <c r="H158" s="128" t="s">
        <v>7</v>
      </c>
      <c r="I158" s="127" t="s">
        <v>33</v>
      </c>
      <c r="J158" s="129" t="s">
        <v>92</v>
      </c>
      <c r="K158" s="138"/>
    </row>
    <row r="159" spans="1:11" ht="13.8" hidden="1">
      <c r="A159" s="101">
        <v>610</v>
      </c>
      <c r="B159" s="1303" t="s">
        <v>53</v>
      </c>
      <c r="C159" s="1304"/>
      <c r="D159" s="1305"/>
      <c r="E159" s="123"/>
      <c r="F159" s="124">
        <v>1</v>
      </c>
      <c r="G159" s="123"/>
      <c r="H159" s="133">
        <v>1</v>
      </c>
      <c r="I159" s="125"/>
      <c r="J159" s="130">
        <f t="shared" ref="J159:J165" si="20">F159*H159*I159</f>
        <v>0</v>
      </c>
      <c r="K159" s="138"/>
    </row>
    <row r="160" spans="1:11" ht="13.8" hidden="1">
      <c r="A160" s="101">
        <v>611</v>
      </c>
      <c r="B160" s="1246" t="s">
        <v>11</v>
      </c>
      <c r="C160" s="1247"/>
      <c r="D160" s="1248"/>
      <c r="E160" s="123"/>
      <c r="F160" s="124">
        <v>1</v>
      </c>
      <c r="G160" s="123"/>
      <c r="H160" s="133">
        <v>1</v>
      </c>
      <c r="I160" s="125"/>
      <c r="J160" s="130">
        <f t="shared" si="20"/>
        <v>0</v>
      </c>
      <c r="K160" s="138"/>
    </row>
    <row r="161" spans="1:11" ht="13.8" hidden="1">
      <c r="A161" s="102">
        <v>611</v>
      </c>
      <c r="B161" s="1246" t="s">
        <v>12</v>
      </c>
      <c r="C161" s="1247"/>
      <c r="D161" s="1248"/>
      <c r="E161" s="103"/>
      <c r="F161" s="124">
        <v>1</v>
      </c>
      <c r="G161" s="103"/>
      <c r="H161" s="134">
        <v>1</v>
      </c>
      <c r="I161" s="104"/>
      <c r="J161" s="131">
        <f t="shared" si="20"/>
        <v>0</v>
      </c>
      <c r="K161" s="138"/>
    </row>
    <row r="162" spans="1:11" ht="13.8" hidden="1">
      <c r="A162" s="102">
        <v>613</v>
      </c>
      <c r="B162" s="1291" t="s">
        <v>14</v>
      </c>
      <c r="C162" s="1292"/>
      <c r="D162" s="1293"/>
      <c r="E162" s="103"/>
      <c r="F162" s="124">
        <v>1</v>
      </c>
      <c r="G162" s="103"/>
      <c r="H162" s="134">
        <v>1</v>
      </c>
      <c r="I162" s="106"/>
      <c r="J162" s="131">
        <f t="shared" si="20"/>
        <v>0</v>
      </c>
      <c r="K162" s="138"/>
    </row>
    <row r="163" spans="1:11" ht="13.8" hidden="1">
      <c r="A163" s="102">
        <v>613</v>
      </c>
      <c r="B163" s="1291" t="s">
        <v>13</v>
      </c>
      <c r="C163" s="1292"/>
      <c r="D163" s="1293"/>
      <c r="E163" s="103"/>
      <c r="F163" s="124">
        <v>1</v>
      </c>
      <c r="G163" s="103"/>
      <c r="H163" s="134">
        <v>1</v>
      </c>
      <c r="I163" s="106"/>
      <c r="J163" s="131">
        <f t="shared" si="20"/>
        <v>0</v>
      </c>
      <c r="K163" s="138"/>
    </row>
    <row r="164" spans="1:11" ht="13.8" hidden="1">
      <c r="A164" s="102">
        <v>613</v>
      </c>
      <c r="B164" s="1246" t="s">
        <v>15</v>
      </c>
      <c r="C164" s="1247"/>
      <c r="D164" s="1248"/>
      <c r="E164" s="103"/>
      <c r="F164" s="124">
        <v>1</v>
      </c>
      <c r="G164" s="103"/>
      <c r="H164" s="134">
        <v>1</v>
      </c>
      <c r="I164" s="104"/>
      <c r="J164" s="131">
        <f t="shared" si="20"/>
        <v>0</v>
      </c>
      <c r="K164" s="138"/>
    </row>
    <row r="165" spans="1:11" ht="14.4" hidden="1" thickBot="1">
      <c r="A165" s="107"/>
      <c r="B165" s="1318"/>
      <c r="C165" s="1319"/>
      <c r="D165" s="1320"/>
      <c r="E165" s="108"/>
      <c r="F165" s="124">
        <v>1</v>
      </c>
      <c r="G165" s="109"/>
      <c r="H165" s="135">
        <v>1</v>
      </c>
      <c r="I165" s="110"/>
      <c r="J165" s="132">
        <f t="shared" si="20"/>
        <v>0</v>
      </c>
      <c r="K165" s="138"/>
    </row>
    <row r="166" spans="1:11" ht="14.4" hidden="1" thickBot="1">
      <c r="A166" s="112"/>
      <c r="B166" s="142"/>
      <c r="C166" s="142"/>
      <c r="D166" s="142"/>
      <c r="E166" s="143"/>
      <c r="F166" s="144"/>
      <c r="G166" s="142"/>
      <c r="H166" s="145"/>
      <c r="I166" s="146" t="s">
        <v>95</v>
      </c>
      <c r="J166" s="147">
        <f>SUM(J159:J165)</f>
        <v>0</v>
      </c>
      <c r="K166" s="140"/>
    </row>
    <row r="167" spans="1:11" ht="13.8" hidden="1" thickBot="1"/>
    <row r="168" spans="1:11" ht="16.2" hidden="1" thickBot="1">
      <c r="A168" s="1237" t="s">
        <v>97</v>
      </c>
      <c r="B168" s="1238"/>
      <c r="C168" s="1238"/>
      <c r="D168" s="1238"/>
      <c r="E168" s="1238"/>
      <c r="F168" s="1238"/>
      <c r="G168" s="1238"/>
      <c r="H168" s="1238"/>
      <c r="I168" s="1302" t="s">
        <v>93</v>
      </c>
      <c r="J168" s="1302"/>
      <c r="K168" s="149">
        <f>K181+J191</f>
        <v>0</v>
      </c>
    </row>
    <row r="169" spans="1:11" ht="13.8" hidden="1" thickBot="1">
      <c r="A169" s="136"/>
      <c r="B169" s="137"/>
      <c r="C169" s="137"/>
      <c r="D169" s="137"/>
      <c r="E169" s="137"/>
      <c r="F169" s="137"/>
      <c r="G169" s="137"/>
      <c r="H169" s="137"/>
      <c r="I169" s="137"/>
      <c r="J169" s="137"/>
      <c r="K169" s="138"/>
    </row>
    <row r="170" spans="1:11" ht="14.4" hidden="1" thickBot="1">
      <c r="A170" s="225" t="s">
        <v>83</v>
      </c>
      <c r="B170" s="1279" t="s">
        <v>89</v>
      </c>
      <c r="C170" s="1280"/>
      <c r="D170" s="224" t="s">
        <v>43</v>
      </c>
      <c r="E170" s="223" t="s">
        <v>44</v>
      </c>
      <c r="F170" s="223" t="s">
        <v>82</v>
      </c>
      <c r="G170" s="223" t="s">
        <v>3</v>
      </c>
      <c r="H170" s="222" t="s">
        <v>4</v>
      </c>
      <c r="I170" s="222" t="s">
        <v>80</v>
      </c>
      <c r="J170" s="221" t="s">
        <v>84</v>
      </c>
      <c r="K170" s="220" t="s">
        <v>17</v>
      </c>
    </row>
    <row r="171" spans="1:11" ht="13.8" hidden="1">
      <c r="A171" s="82">
        <v>620</v>
      </c>
      <c r="B171" s="1313" t="s">
        <v>85</v>
      </c>
      <c r="C171" s="1314"/>
      <c r="D171" s="53">
        <v>2800</v>
      </c>
      <c r="E171" s="54" t="s">
        <v>45</v>
      </c>
      <c r="F171" s="219">
        <f t="shared" ref="F171:F180" si="21">IF(E171="5jours/sem", D171*3/13/5,IF(E171="6jours/sem",D171*3/13/6,""))</f>
        <v>129.23076923076923</v>
      </c>
      <c r="G171" s="55" t="s">
        <v>29</v>
      </c>
      <c r="H171" s="56"/>
      <c r="I171" s="77">
        <f t="shared" ref="I171:I180" si="22">IF(E171="",0,IF(G171="",0,IF(E171="5jours/sem",IF(G171="Jour",H171*D171*3/13/5,IF(G171="Semaine",H171*D171*3/13,IF(G171="Mois",H171*D171,0))),IF(E171="6jours/sem",IF(G171="Jour",H171*D171*3/13/6,IF(G171="Semaine",H171*D171*3/13,IF(G171="Mois",H171*D171,0)))))))</f>
        <v>0</v>
      </c>
      <c r="J171" s="218">
        <v>0</v>
      </c>
      <c r="K171" s="79">
        <f t="shared" ref="K171:K180" si="23">I171*K$1+J171*H171</f>
        <v>0</v>
      </c>
    </row>
    <row r="172" spans="1:11" ht="13.8" hidden="1">
      <c r="A172" s="82">
        <v>620</v>
      </c>
      <c r="B172" s="1272" t="s">
        <v>85</v>
      </c>
      <c r="C172" s="1273"/>
      <c r="D172" s="53">
        <v>2800</v>
      </c>
      <c r="E172" s="54" t="s">
        <v>45</v>
      </c>
      <c r="F172" s="86">
        <f t="shared" si="21"/>
        <v>129.23076923076923</v>
      </c>
      <c r="G172" s="55" t="s">
        <v>29</v>
      </c>
      <c r="H172" s="56"/>
      <c r="I172" s="77">
        <f t="shared" si="22"/>
        <v>0</v>
      </c>
      <c r="J172" s="83">
        <v>0</v>
      </c>
      <c r="K172" s="79">
        <f t="shared" si="23"/>
        <v>0</v>
      </c>
    </row>
    <row r="173" spans="1:11" ht="13.8" hidden="1">
      <c r="A173" s="82">
        <v>620</v>
      </c>
      <c r="B173" s="1272" t="s">
        <v>85</v>
      </c>
      <c r="C173" s="1273"/>
      <c r="D173" s="53">
        <v>2800</v>
      </c>
      <c r="E173" s="54" t="s">
        <v>45</v>
      </c>
      <c r="F173" s="86">
        <f t="shared" si="21"/>
        <v>129.23076923076923</v>
      </c>
      <c r="G173" s="55" t="s">
        <v>29</v>
      </c>
      <c r="H173" s="56"/>
      <c r="I173" s="77">
        <f t="shared" si="22"/>
        <v>0</v>
      </c>
      <c r="J173" s="83">
        <v>0</v>
      </c>
      <c r="K173" s="79">
        <f t="shared" si="23"/>
        <v>0</v>
      </c>
    </row>
    <row r="174" spans="1:11" ht="13.8" hidden="1">
      <c r="A174" s="82">
        <v>620</v>
      </c>
      <c r="B174" s="1272" t="s">
        <v>85</v>
      </c>
      <c r="C174" s="1273"/>
      <c r="D174" s="53">
        <v>2800</v>
      </c>
      <c r="E174" s="54" t="s">
        <v>45</v>
      </c>
      <c r="F174" s="86">
        <f t="shared" si="21"/>
        <v>129.23076923076923</v>
      </c>
      <c r="G174" s="55" t="s">
        <v>29</v>
      </c>
      <c r="H174" s="56"/>
      <c r="I174" s="77">
        <f t="shared" si="22"/>
        <v>0</v>
      </c>
      <c r="J174" s="83">
        <v>0</v>
      </c>
      <c r="K174" s="79">
        <f t="shared" si="23"/>
        <v>0</v>
      </c>
    </row>
    <row r="175" spans="1:11" ht="13.8" hidden="1">
      <c r="A175" s="82">
        <v>620</v>
      </c>
      <c r="B175" s="1272" t="s">
        <v>85</v>
      </c>
      <c r="C175" s="1273"/>
      <c r="D175" s="53">
        <v>2800</v>
      </c>
      <c r="E175" s="54" t="s">
        <v>45</v>
      </c>
      <c r="F175" s="86">
        <f t="shared" si="21"/>
        <v>129.23076923076923</v>
      </c>
      <c r="G175" s="55" t="s">
        <v>29</v>
      </c>
      <c r="H175" s="56"/>
      <c r="I175" s="77">
        <f t="shared" si="22"/>
        <v>0</v>
      </c>
      <c r="J175" s="83">
        <v>0</v>
      </c>
      <c r="K175" s="79">
        <f t="shared" si="23"/>
        <v>0</v>
      </c>
    </row>
    <row r="176" spans="1:11" ht="13.8" hidden="1">
      <c r="A176" s="82">
        <v>620</v>
      </c>
      <c r="B176" s="1272" t="s">
        <v>85</v>
      </c>
      <c r="C176" s="1273"/>
      <c r="D176" s="53">
        <v>2800</v>
      </c>
      <c r="E176" s="54" t="s">
        <v>45</v>
      </c>
      <c r="F176" s="86">
        <f t="shared" si="21"/>
        <v>129.23076923076923</v>
      </c>
      <c r="G176" s="55" t="s">
        <v>29</v>
      </c>
      <c r="H176" s="56"/>
      <c r="I176" s="77">
        <f t="shared" si="22"/>
        <v>0</v>
      </c>
      <c r="J176" s="83">
        <v>0</v>
      </c>
      <c r="K176" s="79">
        <f t="shared" si="23"/>
        <v>0</v>
      </c>
    </row>
    <row r="177" spans="1:11" ht="13.8" hidden="1">
      <c r="A177" s="82">
        <v>620</v>
      </c>
      <c r="B177" s="1272" t="s">
        <v>85</v>
      </c>
      <c r="C177" s="1273"/>
      <c r="D177" s="53">
        <v>2800</v>
      </c>
      <c r="E177" s="54" t="s">
        <v>45</v>
      </c>
      <c r="F177" s="86">
        <f t="shared" si="21"/>
        <v>129.23076923076923</v>
      </c>
      <c r="G177" s="55" t="s">
        <v>29</v>
      </c>
      <c r="H177" s="56"/>
      <c r="I177" s="77">
        <f t="shared" si="22"/>
        <v>0</v>
      </c>
      <c r="J177" s="83">
        <v>0</v>
      </c>
      <c r="K177" s="79">
        <f t="shared" si="23"/>
        <v>0</v>
      </c>
    </row>
    <row r="178" spans="1:11" ht="13.8" hidden="1">
      <c r="A178" s="82">
        <v>620</v>
      </c>
      <c r="B178" s="1272" t="s">
        <v>85</v>
      </c>
      <c r="C178" s="1273"/>
      <c r="D178" s="53">
        <v>2800</v>
      </c>
      <c r="E178" s="54" t="s">
        <v>45</v>
      </c>
      <c r="F178" s="86">
        <f t="shared" si="21"/>
        <v>129.23076923076923</v>
      </c>
      <c r="G178" s="55" t="s">
        <v>29</v>
      </c>
      <c r="H178" s="56"/>
      <c r="I178" s="77">
        <f t="shared" si="22"/>
        <v>0</v>
      </c>
      <c r="J178" s="83">
        <v>0</v>
      </c>
      <c r="K178" s="79">
        <f t="shared" si="23"/>
        <v>0</v>
      </c>
    </row>
    <row r="179" spans="1:11" ht="13.8" hidden="1">
      <c r="A179" s="82">
        <v>620</v>
      </c>
      <c r="B179" s="1272" t="s">
        <v>85</v>
      </c>
      <c r="C179" s="1273"/>
      <c r="D179" s="53">
        <v>2800</v>
      </c>
      <c r="E179" s="54" t="s">
        <v>45</v>
      </c>
      <c r="F179" s="86">
        <f t="shared" si="21"/>
        <v>129.23076923076923</v>
      </c>
      <c r="G179" s="55" t="s">
        <v>29</v>
      </c>
      <c r="H179" s="56"/>
      <c r="I179" s="77">
        <f t="shared" si="22"/>
        <v>0</v>
      </c>
      <c r="J179" s="83">
        <v>0</v>
      </c>
      <c r="K179" s="79">
        <f t="shared" si="23"/>
        <v>0</v>
      </c>
    </row>
    <row r="180" spans="1:11" ht="14.4" hidden="1" thickBot="1">
      <c r="A180" s="84">
        <v>620</v>
      </c>
      <c r="B180" s="1308" t="s">
        <v>85</v>
      </c>
      <c r="C180" s="1309"/>
      <c r="D180" s="61">
        <v>2800</v>
      </c>
      <c r="E180" s="62" t="s">
        <v>45</v>
      </c>
      <c r="F180" s="87">
        <f t="shared" si="21"/>
        <v>129.23076923076923</v>
      </c>
      <c r="G180" s="63" t="s">
        <v>29</v>
      </c>
      <c r="H180" s="64"/>
      <c r="I180" s="78">
        <f t="shared" si="22"/>
        <v>0</v>
      </c>
      <c r="J180" s="85">
        <v>0</v>
      </c>
      <c r="K180" s="79">
        <f t="shared" si="23"/>
        <v>0</v>
      </c>
    </row>
    <row r="181" spans="1:11" ht="16.2" hidden="1" thickBot="1">
      <c r="A181" s="139"/>
      <c r="B181" s="111"/>
      <c r="C181" s="66"/>
      <c r="D181" s="1331"/>
      <c r="E181" s="1331"/>
      <c r="F181" s="66"/>
      <c r="G181" s="67"/>
      <c r="H181" s="68"/>
      <c r="I181" s="1300" t="s">
        <v>94</v>
      </c>
      <c r="J181" s="1301"/>
      <c r="K181" s="122">
        <f>SUM(K171:K180)</f>
        <v>0</v>
      </c>
    </row>
    <row r="182" spans="1:11" ht="13.8" hidden="1" thickBot="1">
      <c r="A182" s="136"/>
      <c r="B182" s="137"/>
      <c r="C182" s="137"/>
      <c r="D182" s="137"/>
      <c r="E182" s="137"/>
      <c r="F182" s="137"/>
      <c r="G182" s="137"/>
      <c r="H182" s="137"/>
      <c r="I182" s="137"/>
      <c r="J182" s="137"/>
      <c r="K182" s="138"/>
    </row>
    <row r="183" spans="1:11" ht="14.4" hidden="1" thickBot="1">
      <c r="A183" s="126" t="s">
        <v>51</v>
      </c>
      <c r="B183" s="1234" t="s">
        <v>88</v>
      </c>
      <c r="C183" s="1235"/>
      <c r="D183" s="1236"/>
      <c r="E183" s="99" t="s">
        <v>6</v>
      </c>
      <c r="F183" s="127" t="s">
        <v>7</v>
      </c>
      <c r="G183" s="127" t="s">
        <v>6</v>
      </c>
      <c r="H183" s="128" t="s">
        <v>7</v>
      </c>
      <c r="I183" s="127" t="s">
        <v>33</v>
      </c>
      <c r="J183" s="129" t="s">
        <v>92</v>
      </c>
      <c r="K183" s="138"/>
    </row>
    <row r="184" spans="1:11" ht="13.8" hidden="1">
      <c r="A184" s="101">
        <v>610</v>
      </c>
      <c r="B184" s="1303" t="s">
        <v>53</v>
      </c>
      <c r="C184" s="1304"/>
      <c r="D184" s="1305"/>
      <c r="E184" s="123"/>
      <c r="F184" s="124">
        <v>1</v>
      </c>
      <c r="G184" s="123"/>
      <c r="H184" s="133">
        <v>1</v>
      </c>
      <c r="I184" s="125"/>
      <c r="J184" s="130">
        <f t="shared" ref="J184:J190" si="24">F184*H184*I184</f>
        <v>0</v>
      </c>
      <c r="K184" s="138"/>
    </row>
    <row r="185" spans="1:11" ht="13.8" hidden="1">
      <c r="A185" s="101">
        <v>611</v>
      </c>
      <c r="B185" s="1246" t="s">
        <v>11</v>
      </c>
      <c r="C185" s="1247"/>
      <c r="D185" s="1248"/>
      <c r="E185" s="123"/>
      <c r="F185" s="124">
        <v>1</v>
      </c>
      <c r="G185" s="123"/>
      <c r="H185" s="133">
        <v>1</v>
      </c>
      <c r="I185" s="125"/>
      <c r="J185" s="130">
        <f t="shared" si="24"/>
        <v>0</v>
      </c>
      <c r="K185" s="138"/>
    </row>
    <row r="186" spans="1:11" ht="13.8" hidden="1">
      <c r="A186" s="102">
        <v>611</v>
      </c>
      <c r="B186" s="1246" t="s">
        <v>12</v>
      </c>
      <c r="C186" s="1247"/>
      <c r="D186" s="1248"/>
      <c r="E186" s="103"/>
      <c r="F186" s="124">
        <v>1</v>
      </c>
      <c r="G186" s="103"/>
      <c r="H186" s="134">
        <v>1</v>
      </c>
      <c r="I186" s="104"/>
      <c r="J186" s="131">
        <f t="shared" si="24"/>
        <v>0</v>
      </c>
      <c r="K186" s="138"/>
    </row>
    <row r="187" spans="1:11" ht="13.8" hidden="1">
      <c r="A187" s="102">
        <v>613</v>
      </c>
      <c r="B187" s="1291" t="s">
        <v>14</v>
      </c>
      <c r="C187" s="1292"/>
      <c r="D187" s="1293"/>
      <c r="E187" s="103"/>
      <c r="F187" s="124">
        <v>1</v>
      </c>
      <c r="G187" s="103"/>
      <c r="H187" s="134">
        <v>1</v>
      </c>
      <c r="I187" s="106"/>
      <c r="J187" s="131">
        <f t="shared" si="24"/>
        <v>0</v>
      </c>
      <c r="K187" s="138"/>
    </row>
    <row r="188" spans="1:11" ht="13.8" hidden="1">
      <c r="A188" s="102">
        <v>613</v>
      </c>
      <c r="B188" s="1291" t="s">
        <v>13</v>
      </c>
      <c r="C188" s="1292"/>
      <c r="D188" s="1293"/>
      <c r="E188" s="103"/>
      <c r="F188" s="124">
        <v>1</v>
      </c>
      <c r="G188" s="103"/>
      <c r="H188" s="134">
        <v>1</v>
      </c>
      <c r="I188" s="106"/>
      <c r="J188" s="131">
        <f t="shared" si="24"/>
        <v>0</v>
      </c>
      <c r="K188" s="138"/>
    </row>
    <row r="189" spans="1:11" ht="13.8" hidden="1">
      <c r="A189" s="102">
        <v>613</v>
      </c>
      <c r="B189" s="1246" t="s">
        <v>15</v>
      </c>
      <c r="C189" s="1247"/>
      <c r="D189" s="1248"/>
      <c r="E189" s="103"/>
      <c r="F189" s="124">
        <v>1</v>
      </c>
      <c r="G189" s="103"/>
      <c r="H189" s="134">
        <v>1</v>
      </c>
      <c r="I189" s="104"/>
      <c r="J189" s="131">
        <f t="shared" si="24"/>
        <v>0</v>
      </c>
      <c r="K189" s="138"/>
    </row>
    <row r="190" spans="1:11" ht="14.4" hidden="1" thickBot="1">
      <c r="A190" s="107"/>
      <c r="B190" s="1318"/>
      <c r="C190" s="1319"/>
      <c r="D190" s="1320"/>
      <c r="E190" s="108"/>
      <c r="F190" s="124">
        <v>1</v>
      </c>
      <c r="G190" s="109"/>
      <c r="H190" s="135">
        <v>1</v>
      </c>
      <c r="I190" s="110"/>
      <c r="J190" s="132">
        <f t="shared" si="24"/>
        <v>0</v>
      </c>
      <c r="K190" s="138"/>
    </row>
    <row r="191" spans="1:11" ht="14.4" hidden="1" thickBot="1">
      <c r="A191" s="112"/>
      <c r="B191" s="142"/>
      <c r="C191" s="142"/>
      <c r="D191" s="142"/>
      <c r="E191" s="143"/>
      <c r="F191" s="144"/>
      <c r="G191" s="142"/>
      <c r="H191" s="145"/>
      <c r="I191" s="146" t="s">
        <v>95</v>
      </c>
      <c r="J191" s="147">
        <f>SUM(J184:J190)</f>
        <v>0</v>
      </c>
      <c r="K191" s="140"/>
    </row>
    <row r="192" spans="1:11" ht="13.8" thickBot="1"/>
    <row r="193" spans="1:11" ht="16.2" thickBot="1">
      <c r="A193" s="1334" t="s">
        <v>111</v>
      </c>
      <c r="B193" s="1335"/>
      <c r="C193" s="1335"/>
      <c r="D193" s="1335"/>
      <c r="E193" s="1335"/>
      <c r="F193" s="1335"/>
      <c r="G193" s="1335"/>
      <c r="H193" s="1335"/>
      <c r="I193" s="1335"/>
      <c r="J193" s="1335"/>
      <c r="K193" s="1336"/>
    </row>
    <row r="194" spans="1:11" ht="13.8">
      <c r="A194" s="1355" t="s">
        <v>98</v>
      </c>
      <c r="B194" s="1356"/>
      <c r="C194" s="1356"/>
      <c r="D194" s="1356"/>
      <c r="E194" s="238"/>
      <c r="F194" s="238"/>
      <c r="G194" s="238"/>
      <c r="H194" s="238"/>
      <c r="I194" s="238"/>
      <c r="J194" s="238"/>
      <c r="K194" s="237">
        <f>K41</f>
        <v>19940</v>
      </c>
    </row>
    <row r="195" spans="1:11" ht="13.8" hidden="1">
      <c r="A195" s="1332" t="s">
        <v>5</v>
      </c>
      <c r="B195" s="1333"/>
      <c r="C195" s="1333"/>
      <c r="D195" s="1333"/>
      <c r="E195" s="173"/>
      <c r="F195" s="173"/>
      <c r="G195" s="173"/>
      <c r="H195" s="173"/>
      <c r="I195" s="173"/>
      <c r="J195" s="175">
        <f>J66</f>
        <v>19000</v>
      </c>
      <c r="K195" s="174"/>
    </row>
    <row r="196" spans="1:11" ht="14.4" thickBot="1">
      <c r="A196" s="1332" t="s">
        <v>99</v>
      </c>
      <c r="B196" s="1333"/>
      <c r="C196" s="1333"/>
      <c r="D196" s="1333"/>
      <c r="E196" s="173"/>
      <c r="F196" s="173"/>
      <c r="G196" s="173"/>
      <c r="H196" s="173"/>
      <c r="I196" s="173"/>
      <c r="J196" s="173"/>
      <c r="K196" s="174">
        <f>K81</f>
        <v>41538.461538461532</v>
      </c>
    </row>
    <row r="197" spans="1:11" ht="13.8" hidden="1">
      <c r="A197" s="1332" t="s">
        <v>100</v>
      </c>
      <c r="B197" s="1333"/>
      <c r="C197" s="1333"/>
      <c r="D197" s="1333"/>
      <c r="E197" s="173"/>
      <c r="F197" s="173"/>
      <c r="G197" s="173"/>
      <c r="H197" s="173"/>
      <c r="I197" s="173"/>
      <c r="J197" s="175">
        <f>J91</f>
        <v>0</v>
      </c>
      <c r="K197" s="174"/>
    </row>
    <row r="198" spans="1:11" ht="13.8" hidden="1">
      <c r="A198" s="1332" t="s">
        <v>101</v>
      </c>
      <c r="B198" s="1333"/>
      <c r="C198" s="1333"/>
      <c r="D198" s="1333"/>
      <c r="E198" s="173"/>
      <c r="F198" s="173"/>
      <c r="G198" s="173"/>
      <c r="H198" s="173"/>
      <c r="I198" s="173"/>
      <c r="J198" s="173"/>
      <c r="K198" s="174">
        <f>K106</f>
        <v>0</v>
      </c>
    </row>
    <row r="199" spans="1:11" ht="13.8" hidden="1">
      <c r="A199" s="1332" t="s">
        <v>102</v>
      </c>
      <c r="B199" s="1333"/>
      <c r="C199" s="1333"/>
      <c r="D199" s="1333"/>
      <c r="E199" s="173"/>
      <c r="F199" s="173"/>
      <c r="G199" s="173"/>
      <c r="H199" s="173"/>
      <c r="I199" s="173"/>
      <c r="J199" s="175">
        <f>J116</f>
        <v>0</v>
      </c>
      <c r="K199" s="174"/>
    </row>
    <row r="200" spans="1:11" ht="13.8" hidden="1">
      <c r="A200" s="1332" t="s">
        <v>103</v>
      </c>
      <c r="B200" s="1333"/>
      <c r="C200" s="1333"/>
      <c r="D200" s="1333"/>
      <c r="E200" s="173"/>
      <c r="F200" s="173"/>
      <c r="G200" s="173"/>
      <c r="H200" s="173"/>
      <c r="I200" s="173"/>
      <c r="J200" s="175"/>
      <c r="K200" s="174">
        <f>K131</f>
        <v>0</v>
      </c>
    </row>
    <row r="201" spans="1:11" ht="13.8" hidden="1">
      <c r="A201" s="1332" t="s">
        <v>104</v>
      </c>
      <c r="B201" s="1333"/>
      <c r="C201" s="1333"/>
      <c r="D201" s="1333"/>
      <c r="E201" s="173"/>
      <c r="F201" s="173"/>
      <c r="G201" s="173"/>
      <c r="H201" s="173"/>
      <c r="I201" s="173"/>
      <c r="J201" s="175">
        <f>J141</f>
        <v>0</v>
      </c>
      <c r="K201" s="174"/>
    </row>
    <row r="202" spans="1:11" ht="13.8" hidden="1">
      <c r="A202" s="1332" t="s">
        <v>105</v>
      </c>
      <c r="B202" s="1333"/>
      <c r="C202" s="1333"/>
      <c r="D202" s="1333"/>
      <c r="E202" s="173"/>
      <c r="F202" s="173"/>
      <c r="G202" s="173"/>
      <c r="H202" s="173"/>
      <c r="I202" s="173"/>
      <c r="J202" s="175"/>
      <c r="K202" s="174">
        <f>K156</f>
        <v>0</v>
      </c>
    </row>
    <row r="203" spans="1:11" ht="13.8" hidden="1">
      <c r="A203" s="1332" t="s">
        <v>106</v>
      </c>
      <c r="B203" s="1333"/>
      <c r="C203" s="1333"/>
      <c r="D203" s="1333"/>
      <c r="E203" s="173"/>
      <c r="F203" s="173"/>
      <c r="G203" s="173"/>
      <c r="H203" s="173"/>
      <c r="I203" s="173"/>
      <c r="J203" s="175">
        <f>J166</f>
        <v>0</v>
      </c>
      <c r="K203" s="174"/>
    </row>
    <row r="204" spans="1:11" ht="13.8" hidden="1">
      <c r="A204" s="1332" t="s">
        <v>107</v>
      </c>
      <c r="B204" s="1333"/>
      <c r="C204" s="1333"/>
      <c r="D204" s="1333"/>
      <c r="E204" s="173"/>
      <c r="F204" s="173"/>
      <c r="G204" s="173"/>
      <c r="H204" s="173"/>
      <c r="I204" s="173"/>
      <c r="J204" s="173"/>
      <c r="K204" s="174">
        <f>K181</f>
        <v>0</v>
      </c>
    </row>
    <row r="205" spans="1:11" ht="14.4" hidden="1" thickBot="1">
      <c r="A205" s="1353" t="s">
        <v>108</v>
      </c>
      <c r="B205" s="1354"/>
      <c r="C205" s="1354"/>
      <c r="D205" s="1354"/>
      <c r="E205" s="113"/>
      <c r="F205" s="113"/>
      <c r="G205" s="113"/>
      <c r="H205" s="113"/>
      <c r="I205" s="113"/>
      <c r="J205" s="182">
        <f>J191</f>
        <v>0</v>
      </c>
      <c r="K205" s="114"/>
    </row>
    <row r="206" spans="1:11" s="181" customFormat="1" ht="13.8">
      <c r="A206" s="187"/>
      <c r="B206" s="188"/>
      <c r="C206" s="188"/>
      <c r="D206" s="188"/>
      <c r="E206" s="1359" t="s">
        <v>109</v>
      </c>
      <c r="F206" s="1360"/>
      <c r="G206" s="1360"/>
      <c r="H206" s="217"/>
      <c r="I206" s="217"/>
      <c r="J206" s="236"/>
      <c r="K206" s="235">
        <f>SUM(K194:K205)</f>
        <v>61478.461538461532</v>
      </c>
    </row>
    <row r="207" spans="1:11" s="181" customFormat="1" ht="14.4" thickBot="1">
      <c r="A207" s="189"/>
      <c r="B207" s="190"/>
      <c r="C207" s="190"/>
      <c r="D207" s="190"/>
      <c r="E207" s="1361" t="s">
        <v>110</v>
      </c>
      <c r="F207" s="1362"/>
      <c r="G207" s="1362"/>
      <c r="H207" s="193"/>
      <c r="I207" s="193"/>
      <c r="J207" s="185">
        <f>SUM(J194:J206)</f>
        <v>19000</v>
      </c>
      <c r="K207" s="186"/>
    </row>
    <row r="208" spans="1:11" ht="16.2" thickBot="1">
      <c r="A208" s="177"/>
      <c r="B208" s="176"/>
      <c r="C208" s="176"/>
      <c r="D208" s="178"/>
      <c r="E208" s="178"/>
      <c r="F208" s="178"/>
      <c r="G208" s="172"/>
      <c r="H208" s="179"/>
      <c r="I208" s="180" t="s">
        <v>112</v>
      </c>
      <c r="J208" s="1357">
        <f>K206+J207</f>
        <v>80478.461538461532</v>
      </c>
      <c r="K208" s="1358"/>
    </row>
    <row r="209" spans="1:16" ht="32.4" hidden="1" customHeight="1" thickBot="1">
      <c r="N209" s="213"/>
    </row>
    <row r="210" spans="1:16" ht="18" hidden="1" thickBot="1">
      <c r="A210" s="1349" t="s">
        <v>137</v>
      </c>
      <c r="B210" s="1350"/>
      <c r="C210" s="1350"/>
      <c r="D210" s="1350"/>
      <c r="E210" s="1350"/>
      <c r="F210" s="1350"/>
      <c r="G210" s="1350"/>
      <c r="H210" s="1350"/>
      <c r="I210" s="1350"/>
      <c r="J210" s="1350"/>
      <c r="K210" s="1351"/>
      <c r="N210" s="213"/>
    </row>
    <row r="211" spans="1:16" ht="14.4" hidden="1" thickBot="1">
      <c r="A211" s="241"/>
      <c r="B211" s="242"/>
      <c r="C211" s="243"/>
      <c r="D211" s="244"/>
      <c r="E211" s="245"/>
      <c r="F211" s="245"/>
      <c r="G211" s="246"/>
      <c r="H211" s="242"/>
      <c r="I211" s="247"/>
      <c r="N211" s="213"/>
    </row>
    <row r="212" spans="1:16" ht="14.4" hidden="1" thickBot="1">
      <c r="A212" s="319" t="s">
        <v>51</v>
      </c>
      <c r="B212" s="1343" t="s">
        <v>138</v>
      </c>
      <c r="C212" s="1344"/>
      <c r="D212" s="1344"/>
      <c r="E212" s="1344"/>
      <c r="F212" s="1344"/>
      <c r="G212" s="1344"/>
      <c r="H212" s="1344"/>
      <c r="I212" s="1344"/>
      <c r="J212" s="1344"/>
      <c r="K212" s="1345"/>
      <c r="P212" s="213"/>
    </row>
    <row r="213" spans="1:16" ht="13.8" hidden="1">
      <c r="A213" s="250">
        <v>701</v>
      </c>
      <c r="B213" s="1346" t="s">
        <v>139</v>
      </c>
      <c r="C213" s="1347"/>
      <c r="D213" s="1347"/>
      <c r="E213" s="1347"/>
      <c r="F213" s="1347"/>
      <c r="G213" s="1347"/>
      <c r="H213" s="1347"/>
      <c r="I213" s="1347"/>
      <c r="J213" s="1352"/>
      <c r="K213" s="251"/>
      <c r="P213" s="213"/>
    </row>
    <row r="214" spans="1:16" ht="13.8" hidden="1">
      <c r="A214" s="252"/>
      <c r="B214" s="1337" t="s">
        <v>140</v>
      </c>
      <c r="C214" s="1338"/>
      <c r="D214" s="1338"/>
      <c r="E214" s="1338"/>
      <c r="F214" s="1338"/>
      <c r="G214" s="1338"/>
      <c r="H214" s="1338"/>
      <c r="I214" s="1338"/>
      <c r="J214" s="1339"/>
      <c r="K214" s="253"/>
      <c r="P214" s="213"/>
    </row>
    <row r="215" spans="1:16" ht="13.8" hidden="1">
      <c r="A215" s="252"/>
      <c r="B215" s="1337" t="s">
        <v>141</v>
      </c>
      <c r="C215" s="1338"/>
      <c r="D215" s="1338"/>
      <c r="E215" s="1338"/>
      <c r="F215" s="1338"/>
      <c r="G215" s="1338"/>
      <c r="H215" s="1338"/>
      <c r="I215" s="1338"/>
      <c r="J215" s="1339"/>
      <c r="K215" s="253"/>
      <c r="P215" s="213"/>
    </row>
    <row r="216" spans="1:16" ht="14.4" hidden="1" thickBot="1">
      <c r="A216" s="254"/>
      <c r="B216" s="1340"/>
      <c r="C216" s="1341"/>
      <c r="D216" s="1341"/>
      <c r="E216" s="1341"/>
      <c r="F216" s="1341"/>
      <c r="G216" s="1341"/>
      <c r="H216" s="1341"/>
      <c r="I216" s="1341"/>
      <c r="J216" s="1342"/>
      <c r="K216" s="255"/>
      <c r="P216" s="213"/>
    </row>
    <row r="217" spans="1:16" ht="17.399999999999999" hidden="1" thickBot="1">
      <c r="A217" s="241"/>
      <c r="B217" s="302"/>
      <c r="C217" s="302"/>
      <c r="D217" s="302"/>
      <c r="E217" s="302"/>
      <c r="F217" s="302"/>
      <c r="G217" s="256"/>
      <c r="H217" s="257"/>
      <c r="I217" s="258"/>
      <c r="J217" s="259" t="s">
        <v>142</v>
      </c>
      <c r="K217" s="260">
        <f>SUM(K213:K216)</f>
        <v>0</v>
      </c>
      <c r="P217" s="213"/>
    </row>
    <row r="218" spans="1:16" ht="14.4" hidden="1" thickBot="1">
      <c r="A218" s="241"/>
      <c r="B218" s="248"/>
      <c r="C218" s="261"/>
      <c r="D218" s="262"/>
      <c r="E218" s="249"/>
      <c r="F218" s="249"/>
      <c r="G218" s="263"/>
      <c r="H218" s="264"/>
      <c r="I218" s="265"/>
      <c r="N218" s="213"/>
    </row>
    <row r="219" spans="1:16" ht="14.4" hidden="1" thickBot="1">
      <c r="A219" s="319" t="s">
        <v>51</v>
      </c>
      <c r="B219" s="1343" t="s">
        <v>143</v>
      </c>
      <c r="C219" s="1344"/>
      <c r="D219" s="1344"/>
      <c r="E219" s="1344"/>
      <c r="F219" s="1344"/>
      <c r="G219" s="1344"/>
      <c r="H219" s="1344"/>
      <c r="I219" s="1344"/>
      <c r="J219" s="1344"/>
      <c r="K219" s="1345"/>
      <c r="P219" s="213"/>
    </row>
    <row r="220" spans="1:16" ht="13.8" hidden="1">
      <c r="A220" s="250">
        <v>703</v>
      </c>
      <c r="B220" s="1346" t="s">
        <v>144</v>
      </c>
      <c r="C220" s="1347"/>
      <c r="D220" s="1347"/>
      <c r="E220" s="1347"/>
      <c r="F220" s="1347"/>
      <c r="G220" s="1347"/>
      <c r="H220" s="1347"/>
      <c r="I220" s="1347"/>
      <c r="J220" s="1347"/>
      <c r="K220" s="303"/>
      <c r="P220" s="213"/>
    </row>
    <row r="221" spans="1:16" ht="13.8" hidden="1">
      <c r="A221" s="252"/>
      <c r="B221" s="1337" t="s">
        <v>145</v>
      </c>
      <c r="C221" s="1338"/>
      <c r="D221" s="1338"/>
      <c r="E221" s="1338"/>
      <c r="F221" s="1338"/>
      <c r="G221" s="1338"/>
      <c r="H221" s="1338"/>
      <c r="I221" s="1338"/>
      <c r="J221" s="1338"/>
      <c r="K221" s="304"/>
      <c r="P221" s="213"/>
    </row>
    <row r="222" spans="1:16" ht="13.8" hidden="1">
      <c r="A222" s="252"/>
      <c r="B222" s="1337" t="s">
        <v>146</v>
      </c>
      <c r="C222" s="1338"/>
      <c r="D222" s="1338"/>
      <c r="E222" s="1338"/>
      <c r="F222" s="1338"/>
      <c r="G222" s="1338"/>
      <c r="H222" s="1338"/>
      <c r="I222" s="1338"/>
      <c r="J222" s="1338"/>
      <c r="K222" s="304"/>
      <c r="P222" s="213"/>
    </row>
    <row r="223" spans="1:16" ht="13.8" hidden="1">
      <c r="A223" s="252"/>
      <c r="B223" s="1337" t="s">
        <v>147</v>
      </c>
      <c r="C223" s="1338"/>
      <c r="D223" s="1338"/>
      <c r="E223" s="1338"/>
      <c r="F223" s="1338"/>
      <c r="G223" s="1338"/>
      <c r="H223" s="1338"/>
      <c r="I223" s="1338"/>
      <c r="J223" s="1338"/>
      <c r="K223" s="304"/>
      <c r="P223" s="213"/>
    </row>
    <row r="224" spans="1:16" ht="13.8" hidden="1">
      <c r="A224" s="252"/>
      <c r="B224" s="1374" t="s">
        <v>148</v>
      </c>
      <c r="C224" s="1375"/>
      <c r="D224" s="1375"/>
      <c r="E224" s="1375"/>
      <c r="F224" s="1375"/>
      <c r="G224" s="1375"/>
      <c r="H224" s="1375"/>
      <c r="I224" s="1375"/>
      <c r="J224" s="1375"/>
      <c r="K224" s="304"/>
      <c r="P224" s="213"/>
    </row>
    <row r="225" spans="1:16" ht="14.4" hidden="1" thickBot="1">
      <c r="A225" s="254"/>
      <c r="B225" s="1376"/>
      <c r="C225" s="1377"/>
      <c r="D225" s="1377"/>
      <c r="E225" s="1377"/>
      <c r="F225" s="1377"/>
      <c r="G225" s="1377"/>
      <c r="H225" s="1377"/>
      <c r="I225" s="1377"/>
      <c r="J225" s="1377"/>
      <c r="K225" s="305"/>
      <c r="P225" s="213"/>
    </row>
    <row r="226" spans="1:16" ht="17.399999999999999" hidden="1" thickBot="1">
      <c r="A226" s="241"/>
      <c r="B226" s="266"/>
      <c r="C226" s="267"/>
      <c r="D226" s="267"/>
      <c r="E226" s="267"/>
      <c r="F226" s="268"/>
      <c r="G226" s="256"/>
      <c r="H226" s="269"/>
      <c r="I226" s="270"/>
      <c r="J226" s="271" t="s">
        <v>149</v>
      </c>
      <c r="K226" s="272">
        <f>SUM(K220:K225)</f>
        <v>0</v>
      </c>
      <c r="P226" s="213"/>
    </row>
    <row r="227" spans="1:16" ht="17.399999999999999" hidden="1" thickBot="1">
      <c r="A227" s="241"/>
      <c r="B227" s="273"/>
      <c r="C227" s="274"/>
      <c r="D227" s="275"/>
      <c r="E227" s="276"/>
      <c r="F227" s="273"/>
      <c r="G227" s="277"/>
      <c r="H227" s="278"/>
      <c r="I227" s="279"/>
      <c r="N227" s="213"/>
    </row>
    <row r="228" spans="1:16" ht="14.4" hidden="1" thickBot="1">
      <c r="A228" s="319" t="s">
        <v>51</v>
      </c>
      <c r="B228" s="1343" t="s">
        <v>150</v>
      </c>
      <c r="C228" s="1344"/>
      <c r="D228" s="1344"/>
      <c r="E228" s="1344"/>
      <c r="F228" s="1344"/>
      <c r="G228" s="1344"/>
      <c r="H228" s="1344"/>
      <c r="I228" s="1344"/>
      <c r="J228" s="1344"/>
      <c r="K228" s="1345"/>
      <c r="P228" s="213"/>
    </row>
    <row r="229" spans="1:16" ht="13.8" hidden="1">
      <c r="A229" s="250">
        <v>737</v>
      </c>
      <c r="B229" s="1346" t="s">
        <v>151</v>
      </c>
      <c r="C229" s="1347"/>
      <c r="D229" s="1347"/>
      <c r="E229" s="1347"/>
      <c r="F229" s="1347"/>
      <c r="G229" s="1347"/>
      <c r="H229" s="1347"/>
      <c r="I229" s="1347"/>
      <c r="J229" s="1378"/>
      <c r="K229" s="306"/>
      <c r="P229" s="213"/>
    </row>
    <row r="230" spans="1:16" ht="13.8" hidden="1">
      <c r="A230" s="280"/>
      <c r="B230" s="1337" t="s">
        <v>152</v>
      </c>
      <c r="C230" s="1338"/>
      <c r="D230" s="1338"/>
      <c r="E230" s="1338"/>
      <c r="F230" s="1338"/>
      <c r="G230" s="1338"/>
      <c r="H230" s="1338"/>
      <c r="I230" s="1338"/>
      <c r="J230" s="1364"/>
      <c r="K230" s="307"/>
      <c r="P230" s="213"/>
    </row>
    <row r="231" spans="1:16" ht="13.8" hidden="1">
      <c r="A231" s="280"/>
      <c r="B231" s="1337" t="s">
        <v>153</v>
      </c>
      <c r="C231" s="1338"/>
      <c r="D231" s="1338"/>
      <c r="E231" s="1338"/>
      <c r="F231" s="1338"/>
      <c r="G231" s="1338"/>
      <c r="H231" s="1338"/>
      <c r="I231" s="1338"/>
      <c r="J231" s="1364"/>
      <c r="K231" s="307"/>
      <c r="P231" s="213"/>
    </row>
    <row r="232" spans="1:16" ht="13.8" hidden="1">
      <c r="A232" s="280"/>
      <c r="B232" s="1337" t="s">
        <v>154</v>
      </c>
      <c r="C232" s="1338"/>
      <c r="D232" s="1338"/>
      <c r="E232" s="1338"/>
      <c r="F232" s="1338"/>
      <c r="G232" s="1338"/>
      <c r="H232" s="1338"/>
      <c r="I232" s="1338"/>
      <c r="J232" s="1364"/>
      <c r="K232" s="307"/>
      <c r="P232" s="213"/>
    </row>
    <row r="233" spans="1:16" ht="13.8" hidden="1">
      <c r="A233" s="252"/>
      <c r="B233" s="1337" t="s">
        <v>155</v>
      </c>
      <c r="C233" s="1338"/>
      <c r="D233" s="1338"/>
      <c r="E233" s="1338"/>
      <c r="F233" s="1338"/>
      <c r="G233" s="1338"/>
      <c r="H233" s="1338"/>
      <c r="I233" s="1338"/>
      <c r="J233" s="1364"/>
      <c r="K233" s="307"/>
      <c r="P233" s="213"/>
    </row>
    <row r="234" spans="1:16" ht="14.4" hidden="1" thickBot="1">
      <c r="A234" s="281"/>
      <c r="B234" s="1365"/>
      <c r="C234" s="1366"/>
      <c r="D234" s="1366"/>
      <c r="E234" s="1366"/>
      <c r="F234" s="1366"/>
      <c r="G234" s="1366"/>
      <c r="H234" s="1366"/>
      <c r="I234" s="1366"/>
      <c r="J234" s="1367"/>
      <c r="K234" s="308"/>
      <c r="P234" s="213"/>
    </row>
    <row r="235" spans="1:16" ht="17.399999999999999" hidden="1" thickBot="1">
      <c r="A235" s="241"/>
      <c r="B235" s="266"/>
      <c r="C235" s="267"/>
      <c r="D235" s="267"/>
      <c r="E235" s="267"/>
      <c r="F235" s="268"/>
      <c r="G235" s="256"/>
      <c r="H235" s="269"/>
      <c r="I235" s="270"/>
      <c r="J235" s="271" t="s">
        <v>149</v>
      </c>
      <c r="K235" s="272">
        <f>SUM(K229:K234)</f>
        <v>0</v>
      </c>
      <c r="P235" s="213"/>
    </row>
    <row r="236" spans="1:16" ht="17.399999999999999" hidden="1" thickBot="1">
      <c r="A236" s="241"/>
      <c r="B236" s="273"/>
      <c r="C236" s="274"/>
      <c r="D236" s="275"/>
      <c r="E236" s="276"/>
      <c r="F236" s="273"/>
      <c r="G236" s="277"/>
      <c r="H236" s="278"/>
      <c r="I236" s="279"/>
      <c r="N236" s="213"/>
    </row>
    <row r="237" spans="1:16" ht="14.4" hidden="1" thickBot="1">
      <c r="A237" s="241"/>
      <c r="B237" s="1368" t="s">
        <v>156</v>
      </c>
      <c r="C237" s="1369"/>
      <c r="D237" s="1369"/>
      <c r="E237" s="1369"/>
      <c r="F237" s="1369"/>
      <c r="G237" s="1369"/>
      <c r="H237" s="1369"/>
      <c r="I237" s="1369"/>
      <c r="J237" s="1369"/>
      <c r="K237" s="1370"/>
      <c r="P237" s="213"/>
    </row>
    <row r="238" spans="1:16" ht="14.4" hidden="1" thickBot="1">
      <c r="A238" s="241"/>
      <c r="B238" s="282" t="s">
        <v>156</v>
      </c>
      <c r="C238" s="283" t="s">
        <v>157</v>
      </c>
      <c r="D238" s="1371"/>
      <c r="E238" s="1372"/>
      <c r="F238" s="1372"/>
      <c r="G238" s="1372"/>
      <c r="H238" s="1372"/>
      <c r="I238" s="1372"/>
      <c r="J238" s="1373"/>
      <c r="K238" s="284"/>
      <c r="P238" s="213"/>
    </row>
    <row r="239" spans="1:16" ht="17.399999999999999" hidden="1" thickBot="1">
      <c r="A239" s="241"/>
      <c r="B239" s="266"/>
      <c r="C239" s="267"/>
      <c r="D239" s="267"/>
      <c r="E239" s="267"/>
      <c r="F239" s="268"/>
      <c r="G239" s="256"/>
      <c r="H239" s="257"/>
      <c r="I239" s="258"/>
      <c r="J239" s="259" t="s">
        <v>158</v>
      </c>
      <c r="K239" s="260">
        <f>K238</f>
        <v>0</v>
      </c>
      <c r="P239" s="213"/>
    </row>
    <row r="240" spans="1:16" ht="17.399999999999999" hidden="1" thickBot="1">
      <c r="A240" s="241"/>
      <c r="B240" s="242"/>
      <c r="C240" s="242"/>
      <c r="D240" s="285"/>
      <c r="E240" s="245"/>
      <c r="F240" s="286"/>
      <c r="G240" s="287"/>
      <c r="H240" s="288"/>
      <c r="I240" s="289"/>
      <c r="N240" s="213"/>
    </row>
    <row r="241" spans="1:16" ht="17.399999999999999" hidden="1" thickBot="1">
      <c r="A241" s="241"/>
      <c r="B241" s="290"/>
      <c r="C241" s="290"/>
      <c r="D241" s="291"/>
      <c r="E241" s="309"/>
      <c r="F241" s="137"/>
      <c r="H241" s="292"/>
      <c r="I241" s="293"/>
      <c r="J241" s="294" t="s">
        <v>159</v>
      </c>
      <c r="K241" s="272">
        <f>K239+K226+K217+K235</f>
        <v>0</v>
      </c>
      <c r="N241" s="213"/>
    </row>
    <row r="242" spans="1:16" ht="14.4" hidden="1" thickBot="1">
      <c r="A242" s="241"/>
      <c r="B242" s="242"/>
      <c r="C242" s="242"/>
      <c r="D242" s="295"/>
      <c r="E242" s="296"/>
      <c r="F242" s="297"/>
      <c r="G242" s="298"/>
      <c r="H242" s="297"/>
      <c r="I242" s="297"/>
      <c r="N242" s="213"/>
    </row>
    <row r="243" spans="1:16" ht="19.8" hidden="1" thickBot="1">
      <c r="A243" s="299"/>
      <c r="B243" s="299"/>
      <c r="C243" s="299"/>
      <c r="D243" s="299"/>
      <c r="E243" s="299"/>
      <c r="F243" s="300"/>
      <c r="G243" s="1363" t="s">
        <v>160</v>
      </c>
      <c r="H243" s="1363"/>
      <c r="I243" s="1363"/>
      <c r="J243" s="1363"/>
      <c r="K243" s="301">
        <f>K241-J208</f>
        <v>-80478.461538461532</v>
      </c>
      <c r="P243" s="213"/>
    </row>
  </sheetData>
  <mergeCells count="239">
    <mergeCell ref="G243:J243"/>
    <mergeCell ref="B231:J231"/>
    <mergeCell ref="B232:J232"/>
    <mergeCell ref="B233:J233"/>
    <mergeCell ref="B234:J234"/>
    <mergeCell ref="B237:K237"/>
    <mergeCell ref="D238:J238"/>
    <mergeCell ref="B223:J223"/>
    <mergeCell ref="B224:J224"/>
    <mergeCell ref="B225:J225"/>
    <mergeCell ref="B228:K228"/>
    <mergeCell ref="B229:J229"/>
    <mergeCell ref="B230:J230"/>
    <mergeCell ref="B215:J215"/>
    <mergeCell ref="B216:J216"/>
    <mergeCell ref="B219:K219"/>
    <mergeCell ref="B220:J220"/>
    <mergeCell ref="B221:J221"/>
    <mergeCell ref="B222:J222"/>
    <mergeCell ref="B3:C3"/>
    <mergeCell ref="A5:K5"/>
    <mergeCell ref="A210:K210"/>
    <mergeCell ref="B212:K212"/>
    <mergeCell ref="B213:J213"/>
    <mergeCell ref="B214:J214"/>
    <mergeCell ref="A199:D199"/>
    <mergeCell ref="A204:D204"/>
    <mergeCell ref="A205:D205"/>
    <mergeCell ref="A194:D194"/>
    <mergeCell ref="A195:D195"/>
    <mergeCell ref="A196:D196"/>
    <mergeCell ref="A197:D197"/>
    <mergeCell ref="A198:D198"/>
    <mergeCell ref="J208:K208"/>
    <mergeCell ref="E206:G206"/>
    <mergeCell ref="E207:G207"/>
    <mergeCell ref="A200:D200"/>
    <mergeCell ref="A201:D201"/>
    <mergeCell ref="A202:D202"/>
    <mergeCell ref="A203:D203"/>
    <mergeCell ref="B180:C180"/>
    <mergeCell ref="D181:E181"/>
    <mergeCell ref="I181:J181"/>
    <mergeCell ref="B183:D183"/>
    <mergeCell ref="B184:D184"/>
    <mergeCell ref="A193:K193"/>
    <mergeCell ref="B190:D190"/>
    <mergeCell ref="B185:D185"/>
    <mergeCell ref="B186:D186"/>
    <mergeCell ref="B187:D187"/>
    <mergeCell ref="B188:D188"/>
    <mergeCell ref="B189:D189"/>
    <mergeCell ref="B175:C175"/>
    <mergeCell ref="B176:C176"/>
    <mergeCell ref="B177:C177"/>
    <mergeCell ref="B178:C178"/>
    <mergeCell ref="B179:C179"/>
    <mergeCell ref="B170:C170"/>
    <mergeCell ref="B171:C171"/>
    <mergeCell ref="B172:C172"/>
    <mergeCell ref="B173:C173"/>
    <mergeCell ref="B174:C174"/>
    <mergeCell ref="B163:D163"/>
    <mergeCell ref="B164:D164"/>
    <mergeCell ref="B165:D165"/>
    <mergeCell ref="A168:H168"/>
    <mergeCell ref="I168:J168"/>
    <mergeCell ref="B158:D158"/>
    <mergeCell ref="B159:D159"/>
    <mergeCell ref="B160:D160"/>
    <mergeCell ref="B161:D161"/>
    <mergeCell ref="B162:D162"/>
    <mergeCell ref="B153:C153"/>
    <mergeCell ref="B154:C154"/>
    <mergeCell ref="B155:C155"/>
    <mergeCell ref="D156:E156"/>
    <mergeCell ref="I156:J156"/>
    <mergeCell ref="B148:C148"/>
    <mergeCell ref="B149:C149"/>
    <mergeCell ref="B150:C150"/>
    <mergeCell ref="B151:C151"/>
    <mergeCell ref="B152:C152"/>
    <mergeCell ref="A143:H143"/>
    <mergeCell ref="I143:J143"/>
    <mergeCell ref="B145:C145"/>
    <mergeCell ref="B146:C146"/>
    <mergeCell ref="B147:C147"/>
    <mergeCell ref="B136:D136"/>
    <mergeCell ref="B137:D137"/>
    <mergeCell ref="B138:D138"/>
    <mergeCell ref="B139:D139"/>
    <mergeCell ref="B140:D140"/>
    <mergeCell ref="D131:E131"/>
    <mergeCell ref="I131:J131"/>
    <mergeCell ref="B133:D133"/>
    <mergeCell ref="B134:D134"/>
    <mergeCell ref="B135:D135"/>
    <mergeCell ref="B126:C126"/>
    <mergeCell ref="B127:C127"/>
    <mergeCell ref="B128:C128"/>
    <mergeCell ref="B129:C129"/>
    <mergeCell ref="B130:C130"/>
    <mergeCell ref="B125:C125"/>
    <mergeCell ref="B114:D114"/>
    <mergeCell ref="B115:D115"/>
    <mergeCell ref="A118:H118"/>
    <mergeCell ref="I118:J118"/>
    <mergeCell ref="B120:C120"/>
    <mergeCell ref="I106:J106"/>
    <mergeCell ref="B108:D108"/>
    <mergeCell ref="B121:C121"/>
    <mergeCell ref="B122:C122"/>
    <mergeCell ref="B123:C123"/>
    <mergeCell ref="B124:C124"/>
    <mergeCell ref="A93:H93"/>
    <mergeCell ref="B109:D109"/>
    <mergeCell ref="B110:D110"/>
    <mergeCell ref="B111:D111"/>
    <mergeCell ref="B112:D112"/>
    <mergeCell ref="B113:D113"/>
    <mergeCell ref="B104:C104"/>
    <mergeCell ref="B105:C105"/>
    <mergeCell ref="D106:E106"/>
    <mergeCell ref="B99:C99"/>
    <mergeCell ref="B100:C100"/>
    <mergeCell ref="B101:C101"/>
    <mergeCell ref="B102:C102"/>
    <mergeCell ref="B103:C103"/>
    <mergeCell ref="I93:J93"/>
    <mergeCell ref="B95:C95"/>
    <mergeCell ref="B96:C96"/>
    <mergeCell ref="B97:C97"/>
    <mergeCell ref="B98:C98"/>
    <mergeCell ref="B65:D65"/>
    <mergeCell ref="B89:D89"/>
    <mergeCell ref="B90:D90"/>
    <mergeCell ref="G22:H22"/>
    <mergeCell ref="B35:C35"/>
    <mergeCell ref="B44:D44"/>
    <mergeCell ref="D41:E41"/>
    <mergeCell ref="A22:B22"/>
    <mergeCell ref="B36:C36"/>
    <mergeCell ref="B37:C37"/>
    <mergeCell ref="B62:D62"/>
    <mergeCell ref="B63:D63"/>
    <mergeCell ref="B64:D64"/>
    <mergeCell ref="B31:C31"/>
    <mergeCell ref="B32:C32"/>
    <mergeCell ref="B33:C33"/>
    <mergeCell ref="B34:C34"/>
    <mergeCell ref="B85:D85"/>
    <mergeCell ref="B86:D86"/>
    <mergeCell ref="A16:B16"/>
    <mergeCell ref="A17:B17"/>
    <mergeCell ref="A18:B18"/>
    <mergeCell ref="A19:B19"/>
    <mergeCell ref="A20:B20"/>
    <mergeCell ref="A21:B21"/>
    <mergeCell ref="B61:D61"/>
    <mergeCell ref="B52:D52"/>
    <mergeCell ref="B53:D53"/>
    <mergeCell ref="B54:D54"/>
    <mergeCell ref="B55:D55"/>
    <mergeCell ref="B56:D56"/>
    <mergeCell ref="B50:D50"/>
    <mergeCell ref="B51:D51"/>
    <mergeCell ref="D17:F17"/>
    <mergeCell ref="B87:D87"/>
    <mergeCell ref="B88:D88"/>
    <mergeCell ref="B70:C70"/>
    <mergeCell ref="B71:C71"/>
    <mergeCell ref="B72:C72"/>
    <mergeCell ref="A1:B1"/>
    <mergeCell ref="F1:G1"/>
    <mergeCell ref="I81:J81"/>
    <mergeCell ref="I68:J68"/>
    <mergeCell ref="A68:H68"/>
    <mergeCell ref="B84:D84"/>
    <mergeCell ref="D19:F19"/>
    <mergeCell ref="D20:F20"/>
    <mergeCell ref="D21:F21"/>
    <mergeCell ref="D22:F22"/>
    <mergeCell ref="B80:C80"/>
    <mergeCell ref="D81:E81"/>
    <mergeCell ref="B73:C73"/>
    <mergeCell ref="B74:C74"/>
    <mergeCell ref="B75:C75"/>
    <mergeCell ref="B76:C76"/>
    <mergeCell ref="B77:C77"/>
    <mergeCell ref="B48:D48"/>
    <mergeCell ref="B49:D49"/>
    <mergeCell ref="B78:C78"/>
    <mergeCell ref="B79:C79"/>
    <mergeCell ref="B57:D57"/>
    <mergeCell ref="B58:D58"/>
    <mergeCell ref="B59:D59"/>
    <mergeCell ref="B60:D60"/>
    <mergeCell ref="G9:H9"/>
    <mergeCell ref="C1:E1"/>
    <mergeCell ref="B30:C30"/>
    <mergeCell ref="A15:B15"/>
    <mergeCell ref="G20:H20"/>
    <mergeCell ref="G10:H10"/>
    <mergeCell ref="G12:H12"/>
    <mergeCell ref="G13:H13"/>
    <mergeCell ref="G15:H15"/>
    <mergeCell ref="G16:H16"/>
    <mergeCell ref="G7:H7"/>
    <mergeCell ref="G8:H8"/>
    <mergeCell ref="G17:H17"/>
    <mergeCell ref="G18:H18"/>
    <mergeCell ref="G19:H19"/>
    <mergeCell ref="D14:F14"/>
    <mergeCell ref="D15:F15"/>
    <mergeCell ref="D16:F16"/>
    <mergeCell ref="B83:D83"/>
    <mergeCell ref="A28:K28"/>
    <mergeCell ref="A26:K26"/>
    <mergeCell ref="B43:D43"/>
    <mergeCell ref="B45:D45"/>
    <mergeCell ref="B46:D46"/>
    <mergeCell ref="B47:D47"/>
    <mergeCell ref="D18:F18"/>
    <mergeCell ref="D7:F7"/>
    <mergeCell ref="D8:F8"/>
    <mergeCell ref="D9:F9"/>
    <mergeCell ref="D10:F10"/>
    <mergeCell ref="D11:F11"/>
    <mergeCell ref="D12:F12"/>
    <mergeCell ref="D13:F13"/>
    <mergeCell ref="G21:H21"/>
    <mergeCell ref="A7:B7"/>
    <mergeCell ref="A8:B8"/>
    <mergeCell ref="A9:B9"/>
    <mergeCell ref="A10:B10"/>
    <mergeCell ref="A11:B11"/>
    <mergeCell ref="A12:B12"/>
    <mergeCell ref="A13:B13"/>
    <mergeCell ref="A14:B14"/>
  </mergeCells>
  <conditionalFormatting sqref="L5:L6 N18:N23">
    <cfRule type="cellIs" dxfId="11" priority="5" stopIfTrue="1" operator="lessThan">
      <formula>0</formula>
    </cfRule>
  </conditionalFormatting>
  <conditionalFormatting sqref="N1">
    <cfRule type="cellIs" dxfId="10" priority="4" stopIfTrue="1" operator="lessThan">
      <formula>0</formula>
    </cfRule>
  </conditionalFormatting>
  <conditionalFormatting sqref="K3">
    <cfRule type="cellIs" dxfId="9" priority="3" stopIfTrue="1" operator="lessThan">
      <formula>0</formula>
    </cfRule>
  </conditionalFormatting>
  <conditionalFormatting sqref="N3 A3:B3">
    <cfRule type="cellIs" dxfId="8" priority="2" stopIfTrue="1" operator="lessThan">
      <formula>0</formula>
    </cfRule>
  </conditionalFormatting>
  <conditionalFormatting sqref="K243">
    <cfRule type="cellIs" dxfId="7" priority="1" stopIfTrue="1" operator="lessThan">
      <formula>0</formula>
    </cfRule>
  </conditionalFormatting>
  <dataValidations count="4">
    <dataValidation type="list" allowBlank="1" showInputMessage="1" sqref="K1" xr:uid="{DF815248-5071-490D-ACF6-7357E8E0CFAF}">
      <mc:AlternateContent xmlns:x12ac="http://schemas.microsoft.com/office/spreadsheetml/2011/1/ac" xmlns:mc="http://schemas.openxmlformats.org/markup-compatibility/2006">
        <mc:Choice Requires="x12ac">
          <x12ac:list>"1,50","1,45","1,42","1,40"</x12ac:list>
        </mc:Choice>
        <mc:Fallback>
          <formula1>"1,50,1,45,1,42,1,40"</formula1>
        </mc:Fallback>
      </mc:AlternateContent>
    </dataValidation>
    <dataValidation type="whole" allowBlank="1" showInputMessage="1" showErrorMessage="1" sqref="H171:H180 H71:H80 H96:H105 H121:H130 H146:H155 H31:H40" xr:uid="{41A52F54-3C5A-455E-B179-7CFC3A5F1F70}">
      <formula1>0</formula1>
      <formula2>128</formula2>
    </dataValidation>
    <dataValidation type="list" allowBlank="1" showInputMessage="1" showErrorMessage="1" sqref="E171:E180 E71:E80 E96:E105 E121:E130 E146:E155 E31:E40" xr:uid="{B67ACA9E-A2EF-4DC4-B30A-2FC699BC381D}">
      <formula1>"5jours/sem,6jours/sem"</formula1>
    </dataValidation>
    <dataValidation type="list" allowBlank="1" showInputMessage="1" showErrorMessage="1" sqref="G171:G180 G71:G80 G96:G105 G121:G130 G146:G155 G31:G40" xr:uid="{99E7ECBC-C0EB-4159-9A9D-987BD4D328B9}">
      <formula1>"Jour,Semaine,Mois"</formula1>
    </dataValidation>
  </dataValidations>
  <pageMargins left="0.7" right="0.7" top="0.75" bottom="0.75" header="0.3" footer="0.3"/>
  <pageSetup paperSize="9" scale="6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F873-C494-45C2-9280-DCDF653556A2}">
  <sheetPr>
    <tabColor theme="9"/>
    <pageSetUpPr fitToPage="1"/>
  </sheetPr>
  <dimension ref="A1:P243"/>
  <sheetViews>
    <sheetView topLeftCell="A27" workbookViewId="0">
      <selection activeCell="H41" sqref="H41"/>
    </sheetView>
    <sheetView topLeftCell="A26" workbookViewId="1">
      <selection sqref="A1:B1"/>
    </sheetView>
  </sheetViews>
  <sheetFormatPr baseColWidth="10" defaultRowHeight="13.2"/>
  <cols>
    <col min="1" max="1" width="5.5546875" style="29" bestFit="1" customWidth="1"/>
    <col min="2" max="2" width="19" style="29" customWidth="1"/>
    <col min="3" max="3" width="5.77734375" style="29" customWidth="1"/>
    <col min="4" max="4" width="14" style="29" bestFit="1" customWidth="1"/>
    <col min="5" max="5" width="10.6640625" style="29" bestFit="1" customWidth="1"/>
    <col min="6" max="6" width="11.5546875" style="29"/>
    <col min="7" max="7" width="15.33203125" style="29" bestFit="1" customWidth="1"/>
    <col min="8" max="8" width="8.5546875" style="29" bestFit="1" customWidth="1"/>
    <col min="9" max="9" width="14.88671875" style="29" customWidth="1"/>
    <col min="10" max="10" width="26.109375" style="29" bestFit="1" customWidth="1"/>
    <col min="11" max="11" width="17.88671875" style="29" bestFit="1" customWidth="1"/>
    <col min="12" max="12" width="2.88671875" style="29" customWidth="1"/>
    <col min="13" max="13" width="6" style="29" bestFit="1" customWidth="1"/>
    <col min="14" max="14" width="26" style="29" customWidth="1"/>
    <col min="15" max="18" width="11.5546875" style="29"/>
    <col min="19" max="19" width="12.5546875" style="29" bestFit="1" customWidth="1"/>
    <col min="20" max="16384" width="11.5546875" style="29"/>
  </cols>
  <sheetData>
    <row r="1" spans="1:16" s="31" customFormat="1" ht="55.8" customHeight="1" thickBot="1">
      <c r="A1" s="1296" t="s">
        <v>135</v>
      </c>
      <c r="B1" s="1297"/>
      <c r="C1" s="1276" t="s">
        <v>136</v>
      </c>
      <c r="D1" s="1277"/>
      <c r="E1" s="1278"/>
      <c r="F1" s="1298" t="s">
        <v>30</v>
      </c>
      <c r="G1" s="1299" t="e">
        <f>#REF!</f>
        <v>#REF!</v>
      </c>
      <c r="H1" s="96" t="s">
        <v>0</v>
      </c>
      <c r="I1" s="97" t="s">
        <v>39</v>
      </c>
      <c r="J1" s="96" t="s">
        <v>38</v>
      </c>
      <c r="K1" s="98">
        <v>1.5</v>
      </c>
      <c r="L1" s="30"/>
      <c r="M1" s="30"/>
      <c r="N1" s="30"/>
      <c r="O1" s="30"/>
      <c r="P1" s="30"/>
    </row>
    <row r="2" spans="1:16" ht="13.8" thickBot="1"/>
    <row r="3" spans="1:16" s="311" customFormat="1" ht="16.2" thickBot="1">
      <c r="A3" s="318"/>
      <c r="B3" s="1348" t="s">
        <v>162</v>
      </c>
      <c r="C3" s="1348"/>
      <c r="D3" s="178">
        <f>K241</f>
        <v>0</v>
      </c>
      <c r="E3" s="315"/>
      <c r="F3" s="314" t="s">
        <v>163</v>
      </c>
      <c r="G3" s="178">
        <f>J208</f>
        <v>110055.38461538462</v>
      </c>
      <c r="H3" s="315"/>
      <c r="I3" s="315"/>
      <c r="J3" s="316" t="s">
        <v>161</v>
      </c>
      <c r="K3" s="317">
        <f>K243</f>
        <v>-110055.38461538462</v>
      </c>
      <c r="L3" s="310"/>
      <c r="M3" s="310"/>
      <c r="N3" s="310"/>
      <c r="O3" s="312"/>
      <c r="P3" s="312"/>
    </row>
    <row r="4" spans="1:16" ht="13.8" thickBot="1">
      <c r="A4" s="313"/>
      <c r="B4" s="313"/>
      <c r="C4" s="313"/>
      <c r="D4" s="313"/>
      <c r="E4" s="313"/>
      <c r="F4" s="313"/>
      <c r="G4" s="313"/>
      <c r="H4" s="313"/>
      <c r="I4" s="313"/>
      <c r="J4" s="313"/>
      <c r="K4" s="313"/>
      <c r="N4" s="213"/>
    </row>
    <row r="5" spans="1:16" s="31" customFormat="1" ht="19.95" customHeight="1" thickBot="1">
      <c r="A5" s="1240" t="s">
        <v>704</v>
      </c>
      <c r="B5" s="1241"/>
      <c r="C5" s="1241"/>
      <c r="D5" s="1241"/>
      <c r="E5" s="1241"/>
      <c r="F5" s="1241"/>
      <c r="G5" s="1241"/>
      <c r="H5" s="1241"/>
      <c r="I5" s="1241"/>
      <c r="J5" s="1241"/>
      <c r="K5" s="1242"/>
      <c r="L5" s="30"/>
      <c r="M5" s="30"/>
      <c r="N5" s="30"/>
    </row>
    <row r="6" spans="1:16" s="31" customFormat="1" ht="18" customHeight="1" thickBot="1">
      <c r="B6" s="32"/>
      <c r="C6" s="88"/>
      <c r="D6" s="89"/>
      <c r="E6" s="52"/>
      <c r="F6" s="52"/>
      <c r="G6" s="90"/>
      <c r="H6" s="51"/>
      <c r="I6" s="91"/>
      <c r="J6" s="30"/>
      <c r="K6" s="30"/>
      <c r="L6" s="30"/>
      <c r="M6" s="30"/>
      <c r="N6" s="30"/>
    </row>
    <row r="7" spans="1:16" s="31" customFormat="1" ht="16.95" customHeight="1" thickBot="1">
      <c r="A7" s="1263" t="s">
        <v>21</v>
      </c>
      <c r="B7" s="1253"/>
      <c r="C7" s="92"/>
      <c r="D7" s="1253" t="s">
        <v>22</v>
      </c>
      <c r="E7" s="1253"/>
      <c r="F7" s="1254"/>
      <c r="G7" s="1287" t="s">
        <v>2</v>
      </c>
      <c r="H7" s="1254"/>
      <c r="I7" s="93" t="s">
        <v>28</v>
      </c>
      <c r="J7" s="94" t="s">
        <v>32</v>
      </c>
      <c r="K7" s="95" t="s">
        <v>52</v>
      </c>
      <c r="L7" s="30"/>
      <c r="M7" s="30"/>
      <c r="N7" s="30" t="s">
        <v>31</v>
      </c>
      <c r="O7" s="30"/>
      <c r="P7" s="30" t="s">
        <v>31</v>
      </c>
    </row>
    <row r="8" spans="1:16" s="31" customFormat="1" ht="15" customHeight="1">
      <c r="A8" s="1264" t="s">
        <v>703</v>
      </c>
      <c r="B8" s="1265"/>
      <c r="C8" s="166"/>
      <c r="D8" s="1255"/>
      <c r="E8" s="1255"/>
      <c r="F8" s="1256"/>
      <c r="G8" s="1288"/>
      <c r="H8" s="1289"/>
      <c r="I8" s="207"/>
      <c r="J8" s="234"/>
      <c r="K8" s="233">
        <f t="shared" ref="K8:K22" si="0">I8*J8</f>
        <v>0</v>
      </c>
      <c r="L8" s="33"/>
      <c r="M8" s="33"/>
      <c r="N8" s="34" t="s">
        <v>24</v>
      </c>
      <c r="O8" s="30"/>
      <c r="P8" s="34" t="s">
        <v>24</v>
      </c>
    </row>
    <row r="9" spans="1:16" s="31" customFormat="1" ht="15" customHeight="1">
      <c r="A9" s="1266" t="s">
        <v>23</v>
      </c>
      <c r="B9" s="1267"/>
      <c r="C9" s="167"/>
      <c r="D9" s="1257"/>
      <c r="E9" s="1257"/>
      <c r="F9" s="1257"/>
      <c r="G9" s="1274"/>
      <c r="H9" s="1275"/>
      <c r="I9" s="208">
        <v>1</v>
      </c>
      <c r="J9" s="35">
        <v>20</v>
      </c>
      <c r="K9" s="36">
        <f t="shared" si="0"/>
        <v>20</v>
      </c>
      <c r="L9" s="33"/>
      <c r="M9" s="33"/>
      <c r="N9" s="37" t="s">
        <v>23</v>
      </c>
      <c r="O9" s="30"/>
      <c r="P9" s="37" t="s">
        <v>23</v>
      </c>
    </row>
    <row r="10" spans="1:16" s="31" customFormat="1" ht="13.8">
      <c r="A10" s="1268" t="s">
        <v>81</v>
      </c>
      <c r="B10" s="1269"/>
      <c r="C10" s="168"/>
      <c r="D10" s="1258" t="s">
        <v>117</v>
      </c>
      <c r="E10" s="1258"/>
      <c r="F10" s="1258"/>
      <c r="G10" s="1283"/>
      <c r="H10" s="1284"/>
      <c r="I10" s="209">
        <v>4</v>
      </c>
      <c r="J10" s="38">
        <v>50</v>
      </c>
      <c r="K10" s="39">
        <f t="shared" si="0"/>
        <v>200</v>
      </c>
      <c r="L10" s="33"/>
      <c r="M10" s="33"/>
      <c r="N10" s="40" t="s">
        <v>25</v>
      </c>
      <c r="O10" s="30"/>
      <c r="P10" s="40" t="s">
        <v>25</v>
      </c>
    </row>
    <row r="11" spans="1:16" s="31" customFormat="1" ht="15" customHeight="1" thickBot="1">
      <c r="A11" s="1266" t="s">
        <v>114</v>
      </c>
      <c r="B11" s="1267"/>
      <c r="C11" s="167"/>
      <c r="D11" s="1257"/>
      <c r="E11" s="1257"/>
      <c r="F11" s="1257"/>
      <c r="G11" s="199"/>
      <c r="H11" s="200"/>
      <c r="I11" s="208">
        <v>1</v>
      </c>
      <c r="J11" s="35">
        <v>20</v>
      </c>
      <c r="K11" s="36">
        <f t="shared" si="0"/>
        <v>20</v>
      </c>
      <c r="L11" s="33"/>
      <c r="M11" s="33"/>
      <c r="N11" s="41" t="s">
        <v>26</v>
      </c>
      <c r="O11" s="30"/>
      <c r="P11" s="41" t="s">
        <v>81</v>
      </c>
    </row>
    <row r="12" spans="1:16" s="31" customFormat="1" ht="15" hidden="1" customHeight="1">
      <c r="A12" s="1270"/>
      <c r="B12" s="1271"/>
      <c r="C12" s="194"/>
      <c r="D12" s="1259"/>
      <c r="E12" s="1259"/>
      <c r="F12" s="1259"/>
      <c r="G12" s="1285"/>
      <c r="H12" s="1286"/>
      <c r="I12" s="210"/>
      <c r="J12" s="197"/>
      <c r="K12" s="198">
        <f t="shared" si="0"/>
        <v>0</v>
      </c>
      <c r="L12" s="33"/>
      <c r="M12" s="33"/>
      <c r="N12" s="42" t="s">
        <v>55</v>
      </c>
      <c r="O12" s="30"/>
      <c r="P12" s="42" t="s">
        <v>55</v>
      </c>
    </row>
    <row r="13" spans="1:16" s="31" customFormat="1" ht="15" hidden="1" customHeight="1">
      <c r="A13" s="1270"/>
      <c r="B13" s="1271"/>
      <c r="C13" s="194"/>
      <c r="D13" s="1260"/>
      <c r="E13" s="1260"/>
      <c r="F13" s="1260"/>
      <c r="G13" s="1285"/>
      <c r="H13" s="1286"/>
      <c r="I13" s="210"/>
      <c r="J13" s="197"/>
      <c r="K13" s="198">
        <f t="shared" si="0"/>
        <v>0</v>
      </c>
      <c r="L13" s="33"/>
      <c r="M13" s="33"/>
      <c r="N13" s="43" t="s">
        <v>54</v>
      </c>
      <c r="O13" s="30"/>
      <c r="P13" s="43" t="s">
        <v>54</v>
      </c>
    </row>
    <row r="14" spans="1:16" s="31" customFormat="1" ht="15" hidden="1" customHeight="1">
      <c r="A14" s="1270"/>
      <c r="B14" s="1271"/>
      <c r="C14" s="194"/>
      <c r="D14" s="1260"/>
      <c r="E14" s="1260"/>
      <c r="F14" s="1260"/>
      <c r="G14" s="195"/>
      <c r="H14" s="196"/>
      <c r="I14" s="210"/>
      <c r="J14" s="197"/>
      <c r="K14" s="198">
        <f t="shared" si="0"/>
        <v>0</v>
      </c>
      <c r="L14" s="33"/>
      <c r="M14" s="33"/>
      <c r="N14" s="44" t="s">
        <v>27</v>
      </c>
      <c r="O14" s="30"/>
      <c r="P14" s="44" t="s">
        <v>27</v>
      </c>
    </row>
    <row r="15" spans="1:16" s="31" customFormat="1" ht="13.8" hidden="1" customHeight="1">
      <c r="A15" s="1281"/>
      <c r="B15" s="1282"/>
      <c r="C15" s="169"/>
      <c r="D15" s="1290"/>
      <c r="E15" s="1290"/>
      <c r="F15" s="1290"/>
      <c r="G15" s="1261"/>
      <c r="H15" s="1262"/>
      <c r="I15" s="211"/>
      <c r="J15" s="45"/>
      <c r="K15" s="46">
        <f t="shared" si="0"/>
        <v>0</v>
      </c>
      <c r="L15" s="33"/>
      <c r="M15" s="33"/>
      <c r="N15" s="30"/>
      <c r="O15" s="30"/>
      <c r="P15" s="30"/>
    </row>
    <row r="16" spans="1:16" s="31" customFormat="1" ht="15" hidden="1" customHeight="1">
      <c r="A16" s="1311"/>
      <c r="B16" s="1312"/>
      <c r="C16" s="170"/>
      <c r="D16" s="1290"/>
      <c r="E16" s="1290"/>
      <c r="F16" s="1290"/>
      <c r="G16" s="1261"/>
      <c r="H16" s="1262"/>
      <c r="I16" s="211"/>
      <c r="J16" s="45"/>
      <c r="K16" s="46">
        <f t="shared" si="0"/>
        <v>0</v>
      </c>
      <c r="L16" s="33"/>
      <c r="M16" s="33"/>
      <c r="N16" s="30"/>
      <c r="O16" s="30"/>
      <c r="P16" s="30"/>
    </row>
    <row r="17" spans="1:16" s="31" customFormat="1" ht="15" hidden="1" customHeight="1">
      <c r="A17" s="1311"/>
      <c r="B17" s="1312"/>
      <c r="C17" s="170"/>
      <c r="D17" s="1290"/>
      <c r="E17" s="1290"/>
      <c r="F17" s="1290"/>
      <c r="G17" s="1261"/>
      <c r="H17" s="1262"/>
      <c r="I17" s="211"/>
      <c r="J17" s="45"/>
      <c r="K17" s="46">
        <f t="shared" si="0"/>
        <v>0</v>
      </c>
      <c r="L17" s="33"/>
      <c r="M17" s="33"/>
      <c r="N17" s="232"/>
      <c r="O17" s="30"/>
    </row>
    <row r="18" spans="1:16" s="31" customFormat="1" ht="13.8" hidden="1">
      <c r="A18" s="1311"/>
      <c r="B18" s="1312"/>
      <c r="C18" s="170"/>
      <c r="D18" s="1252"/>
      <c r="E18" s="1252"/>
      <c r="F18" s="1252"/>
      <c r="G18" s="1261"/>
      <c r="H18" s="1262"/>
      <c r="I18" s="211"/>
      <c r="J18" s="45"/>
      <c r="K18" s="46">
        <f t="shared" si="0"/>
        <v>0</v>
      </c>
      <c r="L18" s="33"/>
      <c r="M18" s="33"/>
      <c r="N18" s="33"/>
      <c r="O18" s="30"/>
      <c r="P18" s="30"/>
    </row>
    <row r="19" spans="1:16" s="31" customFormat="1" ht="15" hidden="1" customHeight="1">
      <c r="A19" s="1311"/>
      <c r="B19" s="1312"/>
      <c r="C19" s="170"/>
      <c r="D19" s="1290"/>
      <c r="E19" s="1290"/>
      <c r="F19" s="1290"/>
      <c r="G19" s="1261"/>
      <c r="H19" s="1262"/>
      <c r="I19" s="211"/>
      <c r="J19" s="45"/>
      <c r="K19" s="46">
        <f t="shared" si="0"/>
        <v>0</v>
      </c>
      <c r="L19" s="33"/>
      <c r="M19" s="33"/>
      <c r="N19" s="33"/>
      <c r="O19" s="30"/>
      <c r="P19" s="30"/>
    </row>
    <row r="20" spans="1:16" s="31" customFormat="1" ht="13.8" hidden="1">
      <c r="A20" s="1311"/>
      <c r="B20" s="1312"/>
      <c r="C20" s="170"/>
      <c r="D20" s="1252"/>
      <c r="E20" s="1252"/>
      <c r="F20" s="1252"/>
      <c r="G20" s="1261"/>
      <c r="H20" s="1262"/>
      <c r="I20" s="211"/>
      <c r="J20" s="45"/>
      <c r="K20" s="46">
        <f t="shared" si="0"/>
        <v>0</v>
      </c>
      <c r="L20" s="33"/>
      <c r="M20" s="33"/>
      <c r="N20" s="33"/>
      <c r="O20" s="30"/>
      <c r="P20" s="30"/>
    </row>
    <row r="21" spans="1:16" s="31" customFormat="1" ht="15" hidden="1" customHeight="1">
      <c r="A21" s="1311"/>
      <c r="B21" s="1312"/>
      <c r="C21" s="170"/>
      <c r="D21" s="1290"/>
      <c r="E21" s="1290"/>
      <c r="F21" s="1290"/>
      <c r="G21" s="1261"/>
      <c r="H21" s="1262"/>
      <c r="I21" s="211"/>
      <c r="J21" s="45"/>
      <c r="K21" s="46">
        <f t="shared" si="0"/>
        <v>0</v>
      </c>
      <c r="L21" s="33"/>
      <c r="M21" s="33"/>
      <c r="N21" s="33"/>
      <c r="O21" s="30"/>
      <c r="P21" s="30"/>
    </row>
    <row r="22" spans="1:16" s="31" customFormat="1" ht="16.05" hidden="1" customHeight="1" thickBot="1">
      <c r="A22" s="1326"/>
      <c r="B22" s="1327"/>
      <c r="C22" s="171"/>
      <c r="D22" s="1306"/>
      <c r="E22" s="1306"/>
      <c r="F22" s="1307"/>
      <c r="G22" s="1321"/>
      <c r="H22" s="1322"/>
      <c r="I22" s="212"/>
      <c r="J22" s="981"/>
      <c r="K22" s="982">
        <f t="shared" si="0"/>
        <v>0</v>
      </c>
      <c r="L22" s="33"/>
      <c r="M22" s="33"/>
      <c r="N22" s="33"/>
      <c r="O22" s="30"/>
      <c r="P22" s="30"/>
    </row>
    <row r="23" spans="1:16" s="31" customFormat="1" ht="18" customHeight="1" thickBot="1">
      <c r="A23" s="152"/>
      <c r="B23" s="977"/>
      <c r="C23" s="977"/>
      <c r="D23" s="977"/>
      <c r="E23" s="977"/>
      <c r="F23" s="978"/>
      <c r="G23" s="979"/>
      <c r="H23" s="977"/>
      <c r="I23" s="980"/>
      <c r="J23" s="983">
        <f>SUM(J8:J22)</f>
        <v>90</v>
      </c>
      <c r="K23" s="983">
        <f>SUM(K8:K22)</f>
        <v>240</v>
      </c>
      <c r="L23" s="50"/>
      <c r="M23" s="50"/>
      <c r="N23" s="50"/>
      <c r="O23" s="30"/>
      <c r="P23" s="30"/>
    </row>
    <row r="25" spans="1:16" ht="13.8" thickBot="1"/>
    <row r="26" spans="1:16" s="31" customFormat="1" ht="19.95" customHeight="1" thickBot="1">
      <c r="A26" s="1240" t="s">
        <v>1</v>
      </c>
      <c r="B26" s="1241"/>
      <c r="C26" s="1241"/>
      <c r="D26" s="1241"/>
      <c r="E26" s="1241"/>
      <c r="F26" s="1241"/>
      <c r="G26" s="1241"/>
      <c r="H26" s="1241"/>
      <c r="I26" s="1241"/>
      <c r="J26" s="1241"/>
      <c r="K26" s="1242"/>
      <c r="L26" s="30"/>
      <c r="M26" s="30"/>
    </row>
    <row r="27" spans="1:16" ht="13.8" thickBot="1"/>
    <row r="28" spans="1:16" ht="16.2" thickBot="1">
      <c r="A28" s="1237" t="s">
        <v>18</v>
      </c>
      <c r="B28" s="1238"/>
      <c r="C28" s="1238"/>
      <c r="D28" s="1238"/>
      <c r="E28" s="1238"/>
      <c r="F28" s="1238"/>
      <c r="G28" s="1238"/>
      <c r="H28" s="1238"/>
      <c r="I28" s="1238"/>
      <c r="J28" s="1238"/>
      <c r="K28" s="1239"/>
    </row>
    <row r="29" spans="1:16" ht="13.8" thickBot="1">
      <c r="A29" s="136"/>
      <c r="B29" s="137"/>
      <c r="C29" s="137"/>
      <c r="D29" s="137"/>
      <c r="E29" s="137"/>
      <c r="F29" s="137"/>
      <c r="G29" s="137"/>
      <c r="H29" s="137"/>
      <c r="I29" s="137"/>
      <c r="J29" s="137"/>
      <c r="K29" s="138"/>
    </row>
    <row r="30" spans="1:16" ht="14.4" thickBot="1">
      <c r="A30" s="71" t="s">
        <v>83</v>
      </c>
      <c r="B30" s="1279" t="s">
        <v>91</v>
      </c>
      <c r="C30" s="1280"/>
      <c r="D30" s="72" t="s">
        <v>43</v>
      </c>
      <c r="E30" s="73" t="s">
        <v>44</v>
      </c>
      <c r="F30" s="73" t="s">
        <v>82</v>
      </c>
      <c r="G30" s="73" t="s">
        <v>3</v>
      </c>
      <c r="H30" s="74" t="s">
        <v>4</v>
      </c>
      <c r="I30" s="74" t="s">
        <v>80</v>
      </c>
      <c r="J30" s="75" t="s">
        <v>84</v>
      </c>
      <c r="K30" s="76" t="s">
        <v>17</v>
      </c>
    </row>
    <row r="31" spans="1:16" ht="13.8">
      <c r="A31" s="80">
        <v>620</v>
      </c>
      <c r="B31" s="1294" t="s">
        <v>816</v>
      </c>
      <c r="C31" s="1295"/>
      <c r="D31" s="201"/>
      <c r="E31" s="202"/>
      <c r="F31" s="203">
        <v>161</v>
      </c>
      <c r="G31" s="204" t="s">
        <v>29</v>
      </c>
      <c r="H31" s="1060">
        <f>J9+J11</f>
        <v>40</v>
      </c>
      <c r="I31" s="205"/>
      <c r="J31" s="206"/>
      <c r="K31" s="231">
        <f>F31*H31</f>
        <v>6440</v>
      </c>
    </row>
    <row r="32" spans="1:16" ht="13.8">
      <c r="A32" s="82">
        <v>620</v>
      </c>
      <c r="B32" s="1272" t="s">
        <v>122</v>
      </c>
      <c r="C32" s="1273"/>
      <c r="D32" s="53">
        <v>3000</v>
      </c>
      <c r="E32" s="54" t="s">
        <v>45</v>
      </c>
      <c r="F32" s="86">
        <f t="shared" ref="F32:F40" si="1">IF(E32="5jours/sem", D32*3/13/5,IF(E32="6jours/sem",D32*3/13/6,""))</f>
        <v>138.46153846153845</v>
      </c>
      <c r="G32" s="55" t="s">
        <v>29</v>
      </c>
      <c r="H32" s="1062">
        <f>J10</f>
        <v>50</v>
      </c>
      <c r="I32" s="77">
        <f t="shared" ref="I32:I40" si="2">IF(E32="",0,IF(G32="",0,IF(E32="5jours/sem",IF(G32="Jour",H32*D32*3/13/5,IF(G32="Semaine",H32*D32*3/13,IF(G32="Mois",H32*D32,0))),IF(E32="6jours/sem",IF(G32="Jour",H32*D32*3/13/6,IF(G32="Semaine",H32*D32*3/13,IF(G32="Mois",H32*D32,0)))))))</f>
        <v>6923.0769230769238</v>
      </c>
      <c r="J32" s="83"/>
      <c r="K32" s="79">
        <f t="shared" ref="K32:K40" si="3">I32*K$1+J32*H32</f>
        <v>10384.615384615387</v>
      </c>
    </row>
    <row r="33" spans="1:12" ht="14.4" thickBot="1">
      <c r="A33" s="82">
        <v>620</v>
      </c>
      <c r="B33" s="1272" t="s">
        <v>842</v>
      </c>
      <c r="C33" s="1273"/>
      <c r="D33" s="53">
        <v>3000</v>
      </c>
      <c r="E33" s="54" t="s">
        <v>45</v>
      </c>
      <c r="F33" s="86">
        <f t="shared" si="1"/>
        <v>138.46153846153845</v>
      </c>
      <c r="G33" s="55" t="s">
        <v>29</v>
      </c>
      <c r="H33" s="56">
        <v>40</v>
      </c>
      <c r="I33" s="77">
        <f t="shared" si="2"/>
        <v>5538.4615384615381</v>
      </c>
      <c r="J33" s="83"/>
      <c r="K33" s="79">
        <f t="shared" si="3"/>
        <v>8307.6923076923067</v>
      </c>
    </row>
    <row r="34" spans="1:12" ht="13.8" hidden="1">
      <c r="A34" s="82">
        <v>620</v>
      </c>
      <c r="B34" s="1272"/>
      <c r="C34" s="1273"/>
      <c r="D34" s="53">
        <v>2800</v>
      </c>
      <c r="E34" s="54" t="s">
        <v>45</v>
      </c>
      <c r="F34" s="86">
        <f t="shared" si="1"/>
        <v>129.23076923076923</v>
      </c>
      <c r="G34" s="55" t="s">
        <v>29</v>
      </c>
      <c r="H34" s="56"/>
      <c r="I34" s="77">
        <f t="shared" si="2"/>
        <v>0</v>
      </c>
      <c r="J34" s="83"/>
      <c r="K34" s="79">
        <f t="shared" si="3"/>
        <v>0</v>
      </c>
    </row>
    <row r="35" spans="1:12" ht="13.8" hidden="1">
      <c r="A35" s="82">
        <v>620</v>
      </c>
      <c r="B35" s="1272"/>
      <c r="C35" s="1273"/>
      <c r="D35" s="53">
        <v>2800</v>
      </c>
      <c r="E35" s="54" t="s">
        <v>45</v>
      </c>
      <c r="F35" s="86">
        <f t="shared" si="1"/>
        <v>129.23076923076923</v>
      </c>
      <c r="G35" s="55" t="s">
        <v>29</v>
      </c>
      <c r="H35" s="56"/>
      <c r="I35" s="77">
        <f t="shared" si="2"/>
        <v>0</v>
      </c>
      <c r="J35" s="83"/>
      <c r="K35" s="79">
        <f t="shared" si="3"/>
        <v>0</v>
      </c>
    </row>
    <row r="36" spans="1:12" ht="13.8" hidden="1">
      <c r="A36" s="82">
        <v>620</v>
      </c>
      <c r="B36" s="1272"/>
      <c r="C36" s="1273"/>
      <c r="D36" s="53">
        <v>2800</v>
      </c>
      <c r="E36" s="54" t="s">
        <v>45</v>
      </c>
      <c r="F36" s="86">
        <f t="shared" si="1"/>
        <v>129.23076923076923</v>
      </c>
      <c r="G36" s="55" t="s">
        <v>29</v>
      </c>
      <c r="H36" s="56"/>
      <c r="I36" s="77">
        <f t="shared" si="2"/>
        <v>0</v>
      </c>
      <c r="J36" s="83"/>
      <c r="K36" s="79">
        <f t="shared" si="3"/>
        <v>0</v>
      </c>
    </row>
    <row r="37" spans="1:12" ht="13.8" hidden="1">
      <c r="A37" s="82">
        <v>620</v>
      </c>
      <c r="B37" s="1272"/>
      <c r="C37" s="1273"/>
      <c r="D37" s="53">
        <v>2800</v>
      </c>
      <c r="E37" s="54" t="s">
        <v>45</v>
      </c>
      <c r="F37" s="86">
        <f t="shared" si="1"/>
        <v>129.23076923076923</v>
      </c>
      <c r="G37" s="55" t="s">
        <v>29</v>
      </c>
      <c r="H37" s="56"/>
      <c r="I37" s="77">
        <f t="shared" si="2"/>
        <v>0</v>
      </c>
      <c r="J37" s="83"/>
      <c r="K37" s="79">
        <f t="shared" si="3"/>
        <v>0</v>
      </c>
    </row>
    <row r="38" spans="1:12" ht="13.8" hidden="1">
      <c r="A38" s="82">
        <v>620</v>
      </c>
      <c r="B38" s="57"/>
      <c r="C38" s="58"/>
      <c r="D38" s="53">
        <v>2800</v>
      </c>
      <c r="E38" s="54" t="s">
        <v>45</v>
      </c>
      <c r="F38" s="86">
        <f t="shared" si="1"/>
        <v>129.23076923076923</v>
      </c>
      <c r="G38" s="55" t="s">
        <v>29</v>
      </c>
      <c r="H38" s="56"/>
      <c r="I38" s="77">
        <f t="shared" si="2"/>
        <v>0</v>
      </c>
      <c r="J38" s="83"/>
      <c r="K38" s="79">
        <f t="shared" si="3"/>
        <v>0</v>
      </c>
    </row>
    <row r="39" spans="1:12" ht="13.8" hidden="1">
      <c r="A39" s="82">
        <v>620</v>
      </c>
      <c r="B39" s="57"/>
      <c r="C39" s="58"/>
      <c r="D39" s="53">
        <v>2800</v>
      </c>
      <c r="E39" s="54" t="s">
        <v>45</v>
      </c>
      <c r="F39" s="86">
        <f t="shared" si="1"/>
        <v>129.23076923076923</v>
      </c>
      <c r="G39" s="55" t="s">
        <v>29</v>
      </c>
      <c r="H39" s="56"/>
      <c r="I39" s="77">
        <f t="shared" si="2"/>
        <v>0</v>
      </c>
      <c r="J39" s="83"/>
      <c r="K39" s="79">
        <f t="shared" si="3"/>
        <v>0</v>
      </c>
    </row>
    <row r="40" spans="1:12" ht="14.4" hidden="1" thickBot="1">
      <c r="A40" s="84">
        <v>620</v>
      </c>
      <c r="B40" s="59"/>
      <c r="C40" s="60"/>
      <c r="D40" s="61">
        <v>2800</v>
      </c>
      <c r="E40" s="62" t="s">
        <v>45</v>
      </c>
      <c r="F40" s="87">
        <f t="shared" si="1"/>
        <v>129.23076923076923</v>
      </c>
      <c r="G40" s="63" t="s">
        <v>29</v>
      </c>
      <c r="H40" s="64"/>
      <c r="I40" s="78">
        <f t="shared" si="2"/>
        <v>0</v>
      </c>
      <c r="J40" s="218"/>
      <c r="K40" s="984">
        <f t="shared" si="3"/>
        <v>0</v>
      </c>
    </row>
    <row r="41" spans="1:12" ht="16.2" thickBot="1">
      <c r="A41" s="987"/>
      <c r="B41" s="152"/>
      <c r="C41" s="65"/>
      <c r="D41" s="1310"/>
      <c r="E41" s="1310"/>
      <c r="F41" s="65"/>
      <c r="G41" s="69"/>
      <c r="H41" s="153"/>
      <c r="I41" s="70"/>
      <c r="J41" s="146" t="s">
        <v>90</v>
      </c>
      <c r="K41" s="985">
        <f>SUM(K31:K40)</f>
        <v>25132.307692307695</v>
      </c>
    </row>
    <row r="42" spans="1:12" ht="14.4" thickBot="1">
      <c r="A42" s="139"/>
      <c r="B42" s="111"/>
      <c r="C42" s="66"/>
      <c r="D42" s="66"/>
      <c r="E42" s="66"/>
      <c r="F42" s="66"/>
      <c r="G42" s="67"/>
      <c r="H42" s="68"/>
      <c r="I42" s="67"/>
      <c r="J42" s="67"/>
      <c r="K42" s="154"/>
    </row>
    <row r="43" spans="1:12" s="31" customFormat="1" ht="16.05" customHeight="1" thickBot="1">
      <c r="A43" s="126" t="s">
        <v>51</v>
      </c>
      <c r="B43" s="1243" t="s">
        <v>5</v>
      </c>
      <c r="C43" s="1244"/>
      <c r="D43" s="1245"/>
      <c r="E43" s="99" t="s">
        <v>6</v>
      </c>
      <c r="F43" s="127" t="s">
        <v>7</v>
      </c>
      <c r="G43" s="127" t="s">
        <v>6</v>
      </c>
      <c r="H43" s="128" t="s">
        <v>7</v>
      </c>
      <c r="I43" s="127" t="s">
        <v>33</v>
      </c>
      <c r="J43" s="155" t="s">
        <v>92</v>
      </c>
      <c r="K43" s="156"/>
      <c r="L43" s="30"/>
    </row>
    <row r="44" spans="1:12" s="31" customFormat="1" ht="15" hidden="1" customHeight="1">
      <c r="A44" s="100">
        <v>610</v>
      </c>
      <c r="B44" s="1323" t="s">
        <v>50</v>
      </c>
      <c r="C44" s="1324"/>
      <c r="D44" s="1325"/>
      <c r="E44" s="157"/>
      <c r="F44" s="158">
        <v>1</v>
      </c>
      <c r="G44" s="158"/>
      <c r="H44" s="214">
        <v>1</v>
      </c>
      <c r="I44" s="159"/>
      <c r="J44" s="105">
        <f t="shared" ref="J44:J65" si="4">F44*H44*I44</f>
        <v>0</v>
      </c>
      <c r="K44" s="156"/>
      <c r="L44" s="30"/>
    </row>
    <row r="45" spans="1:12" s="31" customFormat="1" ht="15" hidden="1" customHeight="1">
      <c r="A45" s="102"/>
      <c r="B45" s="1246"/>
      <c r="C45" s="1247"/>
      <c r="D45" s="1248"/>
      <c r="E45" s="160"/>
      <c r="F45" s="161">
        <v>1</v>
      </c>
      <c r="G45" s="161"/>
      <c r="H45" s="215">
        <v>1</v>
      </c>
      <c r="I45" s="125"/>
      <c r="J45" s="105">
        <f t="shared" si="4"/>
        <v>0</v>
      </c>
      <c r="K45" s="156"/>
      <c r="L45" s="30"/>
    </row>
    <row r="46" spans="1:12" s="31" customFormat="1" ht="15" hidden="1" customHeight="1">
      <c r="A46" s="102">
        <v>611</v>
      </c>
      <c r="B46" s="1246" t="s">
        <v>46</v>
      </c>
      <c r="C46" s="1247"/>
      <c r="D46" s="1248"/>
      <c r="E46" s="160"/>
      <c r="F46" s="161">
        <v>1</v>
      </c>
      <c r="G46" s="161"/>
      <c r="H46" s="215">
        <v>1</v>
      </c>
      <c r="I46" s="125"/>
      <c r="J46" s="105">
        <f t="shared" si="4"/>
        <v>0</v>
      </c>
      <c r="K46" s="156"/>
      <c r="L46" s="30"/>
    </row>
    <row r="47" spans="1:12" s="31" customFormat="1" ht="15" hidden="1" customHeight="1">
      <c r="A47" s="102"/>
      <c r="B47" s="1249"/>
      <c r="C47" s="1250"/>
      <c r="D47" s="1251"/>
      <c r="E47" s="160"/>
      <c r="F47" s="161">
        <v>1</v>
      </c>
      <c r="G47" s="161"/>
      <c r="H47" s="215">
        <v>1</v>
      </c>
      <c r="I47" s="125"/>
      <c r="J47" s="105">
        <f t="shared" si="4"/>
        <v>0</v>
      </c>
      <c r="K47" s="156"/>
      <c r="L47" s="30"/>
    </row>
    <row r="48" spans="1:12" s="31" customFormat="1" ht="15" hidden="1" customHeight="1">
      <c r="A48" s="102">
        <v>612</v>
      </c>
      <c r="B48" s="1246" t="s">
        <v>56</v>
      </c>
      <c r="C48" s="1247"/>
      <c r="D48" s="1248"/>
      <c r="E48" s="115"/>
      <c r="F48" s="116">
        <v>1</v>
      </c>
      <c r="G48" s="116"/>
      <c r="H48" s="216">
        <v>1</v>
      </c>
      <c r="I48" s="104"/>
      <c r="J48" s="105">
        <f t="shared" si="4"/>
        <v>0</v>
      </c>
      <c r="K48" s="156"/>
      <c r="L48" s="30"/>
    </row>
    <row r="49" spans="1:14" s="31" customFormat="1" ht="15" hidden="1" customHeight="1">
      <c r="A49" s="102"/>
      <c r="B49" s="1246"/>
      <c r="C49" s="1247"/>
      <c r="D49" s="1248"/>
      <c r="E49" s="115"/>
      <c r="F49" s="116">
        <v>1</v>
      </c>
      <c r="G49" s="116"/>
      <c r="H49" s="216">
        <v>1</v>
      </c>
      <c r="I49" s="104"/>
      <c r="J49" s="105">
        <f t="shared" si="4"/>
        <v>0</v>
      </c>
      <c r="K49" s="156"/>
      <c r="L49" s="30"/>
    </row>
    <row r="50" spans="1:14" s="31" customFormat="1" ht="15" hidden="1" customHeight="1">
      <c r="A50" s="102">
        <v>613</v>
      </c>
      <c r="B50" s="1291" t="s">
        <v>47</v>
      </c>
      <c r="C50" s="1292"/>
      <c r="D50" s="1293"/>
      <c r="E50" s="115"/>
      <c r="F50" s="116">
        <v>1</v>
      </c>
      <c r="G50" s="116"/>
      <c r="H50" s="216">
        <v>1</v>
      </c>
      <c r="I50" s="104"/>
      <c r="J50" s="105">
        <f t="shared" si="4"/>
        <v>0</v>
      </c>
      <c r="K50" s="156"/>
      <c r="L50" s="30"/>
    </row>
    <row r="51" spans="1:14" s="31" customFormat="1" ht="16.05" hidden="1" customHeight="1">
      <c r="A51" s="102"/>
      <c r="B51" s="1291"/>
      <c r="C51" s="1292"/>
      <c r="D51" s="1293"/>
      <c r="E51" s="115"/>
      <c r="F51" s="116">
        <v>1</v>
      </c>
      <c r="G51" s="116"/>
      <c r="H51" s="134">
        <v>1</v>
      </c>
      <c r="I51" s="106"/>
      <c r="J51" s="105">
        <f t="shared" si="4"/>
        <v>0</v>
      </c>
      <c r="K51" s="156"/>
      <c r="L51" s="30"/>
    </row>
    <row r="52" spans="1:14" s="31" customFormat="1" ht="16.05" hidden="1" customHeight="1">
      <c r="A52" s="102">
        <v>614</v>
      </c>
      <c r="B52" s="1291" t="s">
        <v>10</v>
      </c>
      <c r="C52" s="1292"/>
      <c r="D52" s="1293"/>
      <c r="E52" s="115"/>
      <c r="F52" s="116">
        <v>1</v>
      </c>
      <c r="G52" s="116"/>
      <c r="H52" s="134">
        <v>1</v>
      </c>
      <c r="I52" s="106"/>
      <c r="J52" s="105">
        <f t="shared" si="4"/>
        <v>0</v>
      </c>
      <c r="K52" s="156"/>
      <c r="L52" s="30"/>
    </row>
    <row r="53" spans="1:14" s="31" customFormat="1" ht="16.05" hidden="1" customHeight="1">
      <c r="A53" s="102"/>
      <c r="B53" s="1291"/>
      <c r="C53" s="1292"/>
      <c r="D53" s="1293"/>
      <c r="E53" s="115"/>
      <c r="F53" s="116">
        <v>1</v>
      </c>
      <c r="G53" s="116"/>
      <c r="H53" s="134">
        <v>1</v>
      </c>
      <c r="I53" s="106"/>
      <c r="J53" s="105">
        <f t="shared" si="4"/>
        <v>0</v>
      </c>
      <c r="K53" s="156"/>
      <c r="L53" s="30"/>
    </row>
    <row r="54" spans="1:14" s="31" customFormat="1" ht="16.05" hidden="1" customHeight="1">
      <c r="A54" s="102">
        <v>615</v>
      </c>
      <c r="B54" s="1249" t="s">
        <v>48</v>
      </c>
      <c r="C54" s="1250"/>
      <c r="D54" s="1251"/>
      <c r="E54" s="115"/>
      <c r="F54" s="116">
        <v>1</v>
      </c>
      <c r="G54" s="116"/>
      <c r="H54" s="134">
        <v>1</v>
      </c>
      <c r="I54" s="106"/>
      <c r="J54" s="105">
        <f t="shared" si="4"/>
        <v>0</v>
      </c>
      <c r="K54" s="156"/>
      <c r="L54" s="30"/>
    </row>
    <row r="55" spans="1:14" s="31" customFormat="1" ht="16.05" hidden="1" customHeight="1">
      <c r="A55" s="102"/>
      <c r="B55" s="1249"/>
      <c r="C55" s="1250"/>
      <c r="D55" s="1251"/>
      <c r="E55" s="115"/>
      <c r="F55" s="116">
        <v>1</v>
      </c>
      <c r="G55" s="116"/>
      <c r="H55" s="134">
        <v>1</v>
      </c>
      <c r="I55" s="106"/>
      <c r="J55" s="105">
        <f t="shared" si="4"/>
        <v>0</v>
      </c>
      <c r="K55" s="156"/>
      <c r="L55" s="30"/>
    </row>
    <row r="56" spans="1:14" s="31" customFormat="1" ht="16.05" customHeight="1">
      <c r="A56" s="102">
        <v>616</v>
      </c>
      <c r="B56" s="1249" t="s">
        <v>41</v>
      </c>
      <c r="C56" s="1250"/>
      <c r="D56" s="1251"/>
      <c r="E56" s="115"/>
      <c r="F56" s="116">
        <v>1</v>
      </c>
      <c r="G56" s="116"/>
      <c r="H56" s="134">
        <v>1</v>
      </c>
      <c r="I56" s="106">
        <v>30000</v>
      </c>
      <c r="J56" s="105">
        <v>20000</v>
      </c>
      <c r="K56" s="156"/>
      <c r="L56" s="30"/>
    </row>
    <row r="57" spans="1:14" s="31" customFormat="1" ht="15.6" hidden="1" customHeight="1">
      <c r="A57" s="102"/>
      <c r="B57" s="1249" t="s">
        <v>134</v>
      </c>
      <c r="C57" s="1250"/>
      <c r="D57" s="1251"/>
      <c r="E57" s="115"/>
      <c r="F57" s="116">
        <v>1</v>
      </c>
      <c r="G57" s="116"/>
      <c r="H57" s="134">
        <v>1</v>
      </c>
      <c r="I57" s="106"/>
      <c r="J57" s="105">
        <f t="shared" si="4"/>
        <v>0</v>
      </c>
      <c r="K57" s="156"/>
      <c r="L57" s="30"/>
    </row>
    <row r="58" spans="1:14" s="31" customFormat="1" ht="15.6" customHeight="1">
      <c r="A58" s="102"/>
      <c r="B58" s="1249" t="s">
        <v>8</v>
      </c>
      <c r="C58" s="1250"/>
      <c r="D58" s="1251"/>
      <c r="E58" s="115"/>
      <c r="F58" s="116">
        <v>1</v>
      </c>
      <c r="G58" s="116"/>
      <c r="H58" s="134">
        <v>5</v>
      </c>
      <c r="I58" s="106">
        <v>1000</v>
      </c>
      <c r="J58" s="105">
        <v>8000</v>
      </c>
      <c r="K58" s="156"/>
      <c r="L58" s="30"/>
    </row>
    <row r="59" spans="1:14" s="31" customFormat="1" ht="15.6" hidden="1" customHeight="1">
      <c r="A59" s="102"/>
      <c r="B59" s="1249" t="s">
        <v>9</v>
      </c>
      <c r="C59" s="1250"/>
      <c r="D59" s="1251"/>
      <c r="E59" s="115"/>
      <c r="F59" s="116">
        <v>1</v>
      </c>
      <c r="G59" s="116"/>
      <c r="H59" s="134">
        <v>1</v>
      </c>
      <c r="I59" s="106"/>
      <c r="J59" s="105">
        <f t="shared" si="4"/>
        <v>0</v>
      </c>
      <c r="K59" s="156"/>
      <c r="L59" s="30"/>
    </row>
    <row r="60" spans="1:14" s="31" customFormat="1" ht="15.6" customHeight="1" thickBot="1">
      <c r="A60" s="102"/>
      <c r="B60" s="1249" t="s">
        <v>40</v>
      </c>
      <c r="C60" s="1250"/>
      <c r="D60" s="1251"/>
      <c r="E60" s="115"/>
      <c r="F60" s="116">
        <v>1</v>
      </c>
      <c r="G60" s="116"/>
      <c r="H60" s="134">
        <v>1</v>
      </c>
      <c r="I60" s="106">
        <v>5000</v>
      </c>
      <c r="J60" s="105">
        <v>5000</v>
      </c>
      <c r="K60" s="156"/>
      <c r="L60" s="30"/>
      <c r="N60" s="31" t="s">
        <v>133</v>
      </c>
    </row>
    <row r="61" spans="1:14" s="31" customFormat="1" ht="15.6" hidden="1" customHeight="1">
      <c r="A61" s="102"/>
      <c r="B61" s="1249"/>
      <c r="C61" s="1250"/>
      <c r="D61" s="1251"/>
      <c r="E61" s="115"/>
      <c r="F61" s="116">
        <v>1</v>
      </c>
      <c r="G61" s="116"/>
      <c r="H61" s="134">
        <v>1</v>
      </c>
      <c r="I61" s="106"/>
      <c r="J61" s="105">
        <f t="shared" si="4"/>
        <v>0</v>
      </c>
      <c r="K61" s="156"/>
      <c r="L61" s="30"/>
    </row>
    <row r="62" spans="1:14" s="31" customFormat="1" ht="15" hidden="1" customHeight="1">
      <c r="A62" s="102">
        <v>619</v>
      </c>
      <c r="B62" s="1249" t="s">
        <v>49</v>
      </c>
      <c r="C62" s="1250"/>
      <c r="D62" s="1251"/>
      <c r="E62" s="115"/>
      <c r="F62" s="116">
        <v>1</v>
      </c>
      <c r="G62" s="116"/>
      <c r="H62" s="134">
        <v>1</v>
      </c>
      <c r="I62" s="106"/>
      <c r="J62" s="105">
        <f t="shared" si="4"/>
        <v>0</v>
      </c>
      <c r="K62" s="156"/>
      <c r="L62" s="30"/>
    </row>
    <row r="63" spans="1:14" s="31" customFormat="1" ht="15" hidden="1" customHeight="1">
      <c r="A63" s="102"/>
      <c r="B63" s="1249" t="s">
        <v>42</v>
      </c>
      <c r="C63" s="1250"/>
      <c r="D63" s="1251"/>
      <c r="E63" s="117"/>
      <c r="F63" s="116">
        <v>1</v>
      </c>
      <c r="G63" s="116"/>
      <c r="H63" s="134">
        <v>1</v>
      </c>
      <c r="I63" s="106"/>
      <c r="J63" s="105">
        <f t="shared" si="4"/>
        <v>0</v>
      </c>
      <c r="K63" s="156"/>
      <c r="L63" s="30"/>
    </row>
    <row r="64" spans="1:14" s="31" customFormat="1" ht="15" hidden="1" customHeight="1">
      <c r="A64" s="102"/>
      <c r="B64" s="1249"/>
      <c r="C64" s="1250"/>
      <c r="D64" s="1251"/>
      <c r="E64" s="117"/>
      <c r="F64" s="116">
        <v>1</v>
      </c>
      <c r="G64" s="116"/>
      <c r="H64" s="134">
        <v>1</v>
      </c>
      <c r="I64" s="106"/>
      <c r="J64" s="105">
        <f t="shared" si="4"/>
        <v>0</v>
      </c>
      <c r="K64" s="156"/>
      <c r="L64" s="30"/>
    </row>
    <row r="65" spans="1:12" s="31" customFormat="1" ht="16.05" hidden="1" customHeight="1" thickBot="1">
      <c r="A65" s="118"/>
      <c r="B65" s="1315"/>
      <c r="C65" s="1316"/>
      <c r="D65" s="1317"/>
      <c r="E65" s="119"/>
      <c r="F65" s="120">
        <v>1</v>
      </c>
      <c r="G65" s="120"/>
      <c r="H65" s="135">
        <v>1</v>
      </c>
      <c r="I65" s="121"/>
      <c r="J65" s="105">
        <f t="shared" si="4"/>
        <v>0</v>
      </c>
      <c r="K65" s="156"/>
      <c r="L65" s="30"/>
    </row>
    <row r="66" spans="1:12" s="31" customFormat="1" ht="16.95" customHeight="1" thickBot="1">
      <c r="A66" s="162"/>
      <c r="B66" s="142"/>
      <c r="C66" s="142"/>
      <c r="D66" s="142"/>
      <c r="E66" s="143"/>
      <c r="F66" s="144"/>
      <c r="G66" s="142"/>
      <c r="H66" s="145"/>
      <c r="I66" s="163" t="s">
        <v>90</v>
      </c>
      <c r="J66" s="164">
        <f>SUM(J44:J65)</f>
        <v>33000</v>
      </c>
      <c r="K66" s="165"/>
      <c r="L66" s="30"/>
    </row>
    <row r="67" spans="1:12" ht="14.4" thickBot="1">
      <c r="A67" s="150"/>
      <c r="B67" s="111"/>
      <c r="C67" s="66"/>
      <c r="D67" s="66"/>
      <c r="E67" s="66"/>
      <c r="F67" s="66"/>
      <c r="G67" s="67"/>
      <c r="H67" s="68"/>
      <c r="I67" s="67"/>
      <c r="J67" s="67"/>
      <c r="K67" s="67"/>
    </row>
    <row r="68" spans="1:12" s="141" customFormat="1" ht="16.2" customHeight="1" thickBot="1">
      <c r="A68" s="1237" t="s">
        <v>132</v>
      </c>
      <c r="B68" s="1238"/>
      <c r="C68" s="1238"/>
      <c r="D68" s="1238"/>
      <c r="E68" s="1238"/>
      <c r="F68" s="1238"/>
      <c r="G68" s="1238"/>
      <c r="H68" s="1238"/>
      <c r="I68" s="1302" t="s">
        <v>93</v>
      </c>
      <c r="J68" s="1302"/>
      <c r="K68" s="149">
        <f>K81+J91</f>
        <v>51923.076923076937</v>
      </c>
    </row>
    <row r="69" spans="1:12" ht="13.8" thickBot="1">
      <c r="A69" s="136"/>
      <c r="B69" s="137"/>
      <c r="C69" s="137"/>
      <c r="D69" s="137"/>
      <c r="E69" s="137"/>
      <c r="F69" s="137"/>
      <c r="G69" s="137"/>
      <c r="H69" s="137"/>
      <c r="I69" s="137"/>
      <c r="J69" s="137"/>
      <c r="K69" s="138"/>
    </row>
    <row r="70" spans="1:12" ht="14.4" thickBot="1">
      <c r="A70" s="71" t="s">
        <v>83</v>
      </c>
      <c r="B70" s="1279" t="s">
        <v>89</v>
      </c>
      <c r="C70" s="1280"/>
      <c r="D70" s="72" t="s">
        <v>43</v>
      </c>
      <c r="E70" s="73" t="s">
        <v>44</v>
      </c>
      <c r="F70" s="73" t="s">
        <v>82</v>
      </c>
      <c r="G70" s="73" t="s">
        <v>3</v>
      </c>
      <c r="H70" s="74" t="s">
        <v>4</v>
      </c>
      <c r="I70" s="74" t="s">
        <v>80</v>
      </c>
      <c r="J70" s="75" t="s">
        <v>84</v>
      </c>
      <c r="K70" s="1120" t="s">
        <v>17</v>
      </c>
    </row>
    <row r="71" spans="1:12" ht="13.8">
      <c r="A71" s="80">
        <v>620</v>
      </c>
      <c r="B71" s="1294" t="s">
        <v>123</v>
      </c>
      <c r="C71" s="1295"/>
      <c r="D71" s="230">
        <v>3000</v>
      </c>
      <c r="E71" s="229" t="s">
        <v>45</v>
      </c>
      <c r="F71" s="228">
        <f t="shared" ref="F71:F80" si="5">IF(E71="5jours/sem", D71*3/13/5,IF(E71="6jours/sem",D71*3/13/6,""))</f>
        <v>138.46153846153845</v>
      </c>
      <c r="G71" s="227" t="s">
        <v>29</v>
      </c>
      <c r="H71" s="1061">
        <f>J10</f>
        <v>50</v>
      </c>
      <c r="I71" s="226">
        <f t="shared" ref="I71:I80" si="6">IF(E71="",0,IF(G71="",0,IF(E71="5jours/sem",IF(G71="Jour",H71*D71*3/13/5,IF(G71="Semaine",H71*D71*3/13,IF(G71="Mois",H71*D71,0))),IF(E71="6jours/sem",IF(G71="Jour",H71*D71*3/13/6,IF(G71="Semaine",H71*D71*3/13,IF(G71="Mois",H71*D71,0)))))))</f>
        <v>6923.0769230769238</v>
      </c>
      <c r="J71" s="81"/>
      <c r="K71" s="79">
        <f t="shared" ref="K71:K80" si="7">I71*K$1+J71*H71</f>
        <v>10384.615384615387</v>
      </c>
    </row>
    <row r="72" spans="1:12" ht="13.8">
      <c r="A72" s="82">
        <v>620</v>
      </c>
      <c r="B72" s="1272" t="s">
        <v>123</v>
      </c>
      <c r="C72" s="1273"/>
      <c r="D72" s="53">
        <v>3000</v>
      </c>
      <c r="E72" s="54" t="s">
        <v>45</v>
      </c>
      <c r="F72" s="86">
        <f t="shared" si="5"/>
        <v>138.46153846153845</v>
      </c>
      <c r="G72" s="55" t="s">
        <v>29</v>
      </c>
      <c r="H72" s="1062">
        <f>H71</f>
        <v>50</v>
      </c>
      <c r="I72" s="77">
        <f t="shared" si="6"/>
        <v>6923.0769230769238</v>
      </c>
      <c r="J72" s="83"/>
      <c r="K72" s="79">
        <f t="shared" si="7"/>
        <v>10384.615384615387</v>
      </c>
    </row>
    <row r="73" spans="1:12" ht="13.8">
      <c r="A73" s="82">
        <v>620</v>
      </c>
      <c r="B73" s="1272" t="s">
        <v>123</v>
      </c>
      <c r="C73" s="1273"/>
      <c r="D73" s="53">
        <v>3000</v>
      </c>
      <c r="E73" s="54" t="s">
        <v>45</v>
      </c>
      <c r="F73" s="86">
        <f t="shared" si="5"/>
        <v>138.46153846153845</v>
      </c>
      <c r="G73" s="55" t="s">
        <v>29</v>
      </c>
      <c r="H73" s="1062">
        <f t="shared" ref="H73:H75" si="8">H72</f>
        <v>50</v>
      </c>
      <c r="I73" s="77">
        <f t="shared" si="6"/>
        <v>6923.0769230769238</v>
      </c>
      <c r="J73" s="83"/>
      <c r="K73" s="79">
        <f t="shared" si="7"/>
        <v>10384.615384615387</v>
      </c>
    </row>
    <row r="74" spans="1:12" ht="13.8">
      <c r="A74" s="82">
        <v>620</v>
      </c>
      <c r="B74" s="1272" t="s">
        <v>123</v>
      </c>
      <c r="C74" s="1273"/>
      <c r="D74" s="53">
        <v>3000</v>
      </c>
      <c r="E74" s="54" t="s">
        <v>45</v>
      </c>
      <c r="F74" s="86">
        <f t="shared" si="5"/>
        <v>138.46153846153845</v>
      </c>
      <c r="G74" s="55" t="s">
        <v>29</v>
      </c>
      <c r="H74" s="1062">
        <f t="shared" si="8"/>
        <v>50</v>
      </c>
      <c r="I74" s="77">
        <f t="shared" si="6"/>
        <v>6923.0769230769238</v>
      </c>
      <c r="J74" s="83"/>
      <c r="K74" s="79">
        <f t="shared" si="7"/>
        <v>10384.615384615387</v>
      </c>
    </row>
    <row r="75" spans="1:12" ht="14.4" thickBot="1">
      <c r="A75" s="82">
        <v>620</v>
      </c>
      <c r="B75" s="1272" t="s">
        <v>817</v>
      </c>
      <c r="C75" s="1273"/>
      <c r="D75" s="53">
        <v>3000</v>
      </c>
      <c r="E75" s="54" t="s">
        <v>45</v>
      </c>
      <c r="F75" s="86">
        <f t="shared" si="5"/>
        <v>138.46153846153845</v>
      </c>
      <c r="G75" s="55" t="s">
        <v>29</v>
      </c>
      <c r="H75" s="1062">
        <f t="shared" si="8"/>
        <v>50</v>
      </c>
      <c r="I75" s="77">
        <f t="shared" si="6"/>
        <v>6923.0769230769238</v>
      </c>
      <c r="J75" s="83"/>
      <c r="K75" s="79">
        <f t="shared" si="7"/>
        <v>10384.615384615387</v>
      </c>
    </row>
    <row r="76" spans="1:12" ht="13.8" hidden="1">
      <c r="A76" s="82">
        <v>620</v>
      </c>
      <c r="B76" s="1272" t="s">
        <v>85</v>
      </c>
      <c r="C76" s="1273"/>
      <c r="D76" s="53">
        <v>3000</v>
      </c>
      <c r="E76" s="54" t="s">
        <v>45</v>
      </c>
      <c r="F76" s="86">
        <f t="shared" si="5"/>
        <v>138.46153846153845</v>
      </c>
      <c r="G76" s="55" t="s">
        <v>29</v>
      </c>
      <c r="H76" s="1062"/>
      <c r="I76" s="77">
        <f t="shared" si="6"/>
        <v>0</v>
      </c>
      <c r="J76" s="83"/>
      <c r="K76" s="79">
        <f t="shared" si="7"/>
        <v>0</v>
      </c>
    </row>
    <row r="77" spans="1:12" ht="13.8" hidden="1">
      <c r="A77" s="82">
        <v>620</v>
      </c>
      <c r="B77" s="1272" t="s">
        <v>85</v>
      </c>
      <c r="C77" s="1273"/>
      <c r="D77" s="53">
        <v>2800</v>
      </c>
      <c r="E77" s="54" t="s">
        <v>45</v>
      </c>
      <c r="F77" s="86">
        <f t="shared" si="5"/>
        <v>129.23076923076923</v>
      </c>
      <c r="G77" s="55" t="s">
        <v>29</v>
      </c>
      <c r="H77" s="56"/>
      <c r="I77" s="77">
        <f t="shared" si="6"/>
        <v>0</v>
      </c>
      <c r="J77" s="83">
        <v>0</v>
      </c>
      <c r="K77" s="79">
        <f t="shared" si="7"/>
        <v>0</v>
      </c>
    </row>
    <row r="78" spans="1:12" ht="13.8" hidden="1">
      <c r="A78" s="82">
        <v>620</v>
      </c>
      <c r="B78" s="1272" t="s">
        <v>85</v>
      </c>
      <c r="C78" s="1273"/>
      <c r="D78" s="53">
        <v>2800</v>
      </c>
      <c r="E78" s="54" t="s">
        <v>45</v>
      </c>
      <c r="F78" s="86">
        <f t="shared" si="5"/>
        <v>129.23076923076923</v>
      </c>
      <c r="G78" s="55" t="s">
        <v>29</v>
      </c>
      <c r="H78" s="56"/>
      <c r="I78" s="77">
        <f t="shared" si="6"/>
        <v>0</v>
      </c>
      <c r="J78" s="83">
        <v>0</v>
      </c>
      <c r="K78" s="79">
        <f t="shared" si="7"/>
        <v>0</v>
      </c>
    </row>
    <row r="79" spans="1:12" ht="13.8" hidden="1">
      <c r="A79" s="82">
        <v>620</v>
      </c>
      <c r="B79" s="1272" t="s">
        <v>85</v>
      </c>
      <c r="C79" s="1273"/>
      <c r="D79" s="53">
        <v>2800</v>
      </c>
      <c r="E79" s="54" t="s">
        <v>45</v>
      </c>
      <c r="F79" s="86">
        <f t="shared" si="5"/>
        <v>129.23076923076923</v>
      </c>
      <c r="G79" s="55" t="s">
        <v>29</v>
      </c>
      <c r="H79" s="56"/>
      <c r="I79" s="77">
        <f t="shared" si="6"/>
        <v>0</v>
      </c>
      <c r="J79" s="83">
        <v>0</v>
      </c>
      <c r="K79" s="79">
        <f t="shared" si="7"/>
        <v>0</v>
      </c>
    </row>
    <row r="80" spans="1:12" ht="14.4" hidden="1" thickBot="1">
      <c r="A80" s="84">
        <v>620</v>
      </c>
      <c r="B80" s="1308" t="s">
        <v>85</v>
      </c>
      <c r="C80" s="1309"/>
      <c r="D80" s="61">
        <v>2800</v>
      </c>
      <c r="E80" s="62" t="s">
        <v>45</v>
      </c>
      <c r="F80" s="87">
        <f t="shared" si="5"/>
        <v>129.23076923076923</v>
      </c>
      <c r="G80" s="63" t="s">
        <v>29</v>
      </c>
      <c r="H80" s="64"/>
      <c r="I80" s="78">
        <f t="shared" si="6"/>
        <v>0</v>
      </c>
      <c r="J80" s="85">
        <v>0</v>
      </c>
      <c r="K80" s="79">
        <f t="shared" si="7"/>
        <v>0</v>
      </c>
    </row>
    <row r="81" spans="1:11" ht="16.2" thickBot="1">
      <c r="A81" s="987"/>
      <c r="B81" s="152"/>
      <c r="C81" s="65"/>
      <c r="D81" s="1310"/>
      <c r="E81" s="1310"/>
      <c r="F81" s="65"/>
      <c r="G81" s="69"/>
      <c r="H81" s="986"/>
      <c r="I81" s="1300" t="s">
        <v>94</v>
      </c>
      <c r="J81" s="1301"/>
      <c r="K81" s="122">
        <f>SUM(K71:K80)</f>
        <v>51923.076923076937</v>
      </c>
    </row>
    <row r="82" spans="1:11" ht="14.4" hidden="1" customHeight="1" thickBot="1">
      <c r="A82" s="136"/>
      <c r="B82" s="137"/>
      <c r="C82" s="137"/>
      <c r="D82" s="137"/>
      <c r="E82" s="137"/>
      <c r="F82" s="137"/>
      <c r="G82" s="137"/>
      <c r="H82" s="137"/>
      <c r="I82" s="137"/>
      <c r="J82" s="137"/>
      <c r="K82" s="138"/>
    </row>
    <row r="83" spans="1:11" ht="14.4" hidden="1" thickBot="1">
      <c r="A83" s="126" t="s">
        <v>51</v>
      </c>
      <c r="B83" s="1234" t="s">
        <v>88</v>
      </c>
      <c r="C83" s="1235"/>
      <c r="D83" s="1236"/>
      <c r="E83" s="99" t="s">
        <v>6</v>
      </c>
      <c r="F83" s="127" t="s">
        <v>7</v>
      </c>
      <c r="G83" s="127" t="s">
        <v>6</v>
      </c>
      <c r="H83" s="128" t="s">
        <v>7</v>
      </c>
      <c r="I83" s="127" t="s">
        <v>33</v>
      </c>
      <c r="J83" s="129" t="s">
        <v>92</v>
      </c>
      <c r="K83" s="138"/>
    </row>
    <row r="84" spans="1:11" ht="13.8" hidden="1">
      <c r="A84" s="101">
        <v>610</v>
      </c>
      <c r="B84" s="1379" t="s">
        <v>53</v>
      </c>
      <c r="C84" s="1380"/>
      <c r="D84" s="1381"/>
      <c r="E84" s="123"/>
      <c r="F84" s="124">
        <v>1</v>
      </c>
      <c r="G84" s="123"/>
      <c r="H84" s="133">
        <v>1</v>
      </c>
      <c r="I84" s="125"/>
      <c r="J84" s="130">
        <f t="shared" ref="J84:J90" si="9">F84*H84*I84</f>
        <v>0</v>
      </c>
      <c r="K84" s="138"/>
    </row>
    <row r="85" spans="1:11" ht="13.8" hidden="1">
      <c r="A85" s="101">
        <v>611</v>
      </c>
      <c r="B85" s="1246" t="s">
        <v>11</v>
      </c>
      <c r="C85" s="1247"/>
      <c r="D85" s="1248"/>
      <c r="E85" s="123"/>
      <c r="F85" s="124">
        <v>1</v>
      </c>
      <c r="G85" s="123"/>
      <c r="H85" s="133">
        <v>1</v>
      </c>
      <c r="I85" s="125"/>
      <c r="J85" s="130">
        <f t="shared" si="9"/>
        <v>0</v>
      </c>
      <c r="K85" s="138"/>
    </row>
    <row r="86" spans="1:11" ht="13.8" hidden="1">
      <c r="A86" s="102">
        <v>611</v>
      </c>
      <c r="B86" s="1246" t="s">
        <v>12</v>
      </c>
      <c r="C86" s="1247"/>
      <c r="D86" s="1248"/>
      <c r="E86" s="103"/>
      <c r="F86" s="124">
        <v>1</v>
      </c>
      <c r="G86" s="103"/>
      <c r="H86" s="134">
        <v>1</v>
      </c>
      <c r="I86" s="104"/>
      <c r="J86" s="131">
        <f t="shared" si="9"/>
        <v>0</v>
      </c>
      <c r="K86" s="138"/>
    </row>
    <row r="87" spans="1:11" ht="13.8" hidden="1">
      <c r="A87" s="102">
        <v>613</v>
      </c>
      <c r="B87" s="1291" t="s">
        <v>14</v>
      </c>
      <c r="C87" s="1292"/>
      <c r="D87" s="1293"/>
      <c r="E87" s="103"/>
      <c r="F87" s="124">
        <v>1</v>
      </c>
      <c r="G87" s="103"/>
      <c r="H87" s="134">
        <v>1</v>
      </c>
      <c r="I87" s="106"/>
      <c r="J87" s="131">
        <f t="shared" si="9"/>
        <v>0</v>
      </c>
      <c r="K87" s="138"/>
    </row>
    <row r="88" spans="1:11" ht="13.8" hidden="1">
      <c r="A88" s="102">
        <v>613</v>
      </c>
      <c r="B88" s="1291" t="s">
        <v>13</v>
      </c>
      <c r="C88" s="1292"/>
      <c r="D88" s="1293"/>
      <c r="E88" s="103"/>
      <c r="F88" s="124">
        <v>1</v>
      </c>
      <c r="G88" s="103"/>
      <c r="H88" s="134">
        <v>1</v>
      </c>
      <c r="I88" s="106"/>
      <c r="J88" s="131">
        <f t="shared" si="9"/>
        <v>0</v>
      </c>
      <c r="K88" s="138"/>
    </row>
    <row r="89" spans="1:11" ht="13.8" hidden="1">
      <c r="A89" s="102">
        <v>613</v>
      </c>
      <c r="B89" s="1246" t="s">
        <v>15</v>
      </c>
      <c r="C89" s="1247"/>
      <c r="D89" s="1248"/>
      <c r="E89" s="103"/>
      <c r="F89" s="124">
        <v>1</v>
      </c>
      <c r="G89" s="103"/>
      <c r="H89" s="134">
        <v>1</v>
      </c>
      <c r="I89" s="104"/>
      <c r="J89" s="131">
        <f t="shared" si="9"/>
        <v>0</v>
      </c>
      <c r="K89" s="138"/>
    </row>
    <row r="90" spans="1:11" ht="14.4" hidden="1" thickBot="1">
      <c r="A90" s="107"/>
      <c r="B90" s="1318"/>
      <c r="C90" s="1319"/>
      <c r="D90" s="1320"/>
      <c r="E90" s="108"/>
      <c r="F90" s="124">
        <v>1</v>
      </c>
      <c r="G90" s="109"/>
      <c r="H90" s="135">
        <v>1</v>
      </c>
      <c r="I90" s="110"/>
      <c r="J90" s="132">
        <f t="shared" si="9"/>
        <v>0</v>
      </c>
      <c r="K90" s="138"/>
    </row>
    <row r="91" spans="1:11" ht="14.4" hidden="1" thickBot="1">
      <c r="A91" s="112"/>
      <c r="B91" s="142"/>
      <c r="C91" s="142"/>
      <c r="D91" s="142"/>
      <c r="E91" s="143"/>
      <c r="F91" s="144"/>
      <c r="G91" s="142"/>
      <c r="H91" s="145"/>
      <c r="I91" s="146" t="s">
        <v>95</v>
      </c>
      <c r="J91" s="147">
        <f>SUM(J84:J90)</f>
        <v>0</v>
      </c>
      <c r="K91" s="140"/>
    </row>
    <row r="92" spans="1:11" ht="13.8" hidden="1" thickBot="1"/>
    <row r="93" spans="1:11" ht="16.2" hidden="1" thickBot="1">
      <c r="A93" s="1237" t="s">
        <v>131</v>
      </c>
      <c r="B93" s="1238"/>
      <c r="C93" s="1238"/>
      <c r="D93" s="1238"/>
      <c r="E93" s="1238"/>
      <c r="F93" s="1238"/>
      <c r="G93" s="1238"/>
      <c r="H93" s="1238"/>
      <c r="I93" s="1302" t="s">
        <v>93</v>
      </c>
      <c r="J93" s="1302"/>
      <c r="K93" s="149">
        <f>K106+J116</f>
        <v>0</v>
      </c>
    </row>
    <row r="94" spans="1:11" ht="13.8" hidden="1" thickBot="1">
      <c r="A94" s="136"/>
      <c r="B94" s="137"/>
      <c r="C94" s="137"/>
      <c r="D94" s="137"/>
      <c r="E94" s="137"/>
      <c r="F94" s="137"/>
      <c r="G94" s="137"/>
      <c r="H94" s="137"/>
      <c r="I94" s="137"/>
      <c r="J94" s="137"/>
      <c r="K94" s="138"/>
    </row>
    <row r="95" spans="1:11" ht="14.4" hidden="1" thickBot="1">
      <c r="A95" s="225" t="s">
        <v>83</v>
      </c>
      <c r="B95" s="1279" t="s">
        <v>89</v>
      </c>
      <c r="C95" s="1280"/>
      <c r="D95" s="224" t="s">
        <v>43</v>
      </c>
      <c r="E95" s="223" t="s">
        <v>44</v>
      </c>
      <c r="F95" s="223" t="s">
        <v>82</v>
      </c>
      <c r="G95" s="223" t="s">
        <v>3</v>
      </c>
      <c r="H95" s="222" t="s">
        <v>4</v>
      </c>
      <c r="I95" s="222" t="s">
        <v>80</v>
      </c>
      <c r="J95" s="221" t="s">
        <v>84</v>
      </c>
      <c r="K95" s="220" t="s">
        <v>17</v>
      </c>
    </row>
    <row r="96" spans="1:11" ht="13.8" hidden="1">
      <c r="A96" s="82">
        <v>620</v>
      </c>
      <c r="B96" s="1313" t="s">
        <v>85</v>
      </c>
      <c r="C96" s="1314"/>
      <c r="D96" s="53">
        <v>2800</v>
      </c>
      <c r="E96" s="54" t="s">
        <v>45</v>
      </c>
      <c r="F96" s="219">
        <f t="shared" ref="F96:F105" si="10">IF(E96="5jours/sem", D96*3/13/5,IF(E96="6jours/sem",D96*3/13/6,""))</f>
        <v>129.23076923076923</v>
      </c>
      <c r="G96" s="55" t="s">
        <v>29</v>
      </c>
      <c r="H96" s="56"/>
      <c r="I96" s="77">
        <f t="shared" ref="I96:I105" si="11">IF(E96="",0,IF(G96="",0,IF(E96="5jours/sem",IF(G96="Jour",H96*D96*3/13/5,IF(G96="Semaine",H96*D96*3/13,IF(G96="Mois",H96*D96,0))),IF(E96="6jours/sem",IF(G96="Jour",H96*D96*3/13/6,IF(G96="Semaine",H96*D96*3/13,IF(G96="Mois",H96*D96,0)))))))</f>
        <v>0</v>
      </c>
      <c r="J96" s="218">
        <v>0</v>
      </c>
      <c r="K96" s="79">
        <f t="shared" ref="K96:K105" si="12">I96*K$1+J96*H96</f>
        <v>0</v>
      </c>
    </row>
    <row r="97" spans="1:11" ht="13.8" hidden="1">
      <c r="A97" s="82">
        <v>620</v>
      </c>
      <c r="B97" s="1272" t="s">
        <v>85</v>
      </c>
      <c r="C97" s="1273"/>
      <c r="D97" s="53">
        <v>2800</v>
      </c>
      <c r="E97" s="54" t="s">
        <v>45</v>
      </c>
      <c r="F97" s="86">
        <f t="shared" si="10"/>
        <v>129.23076923076923</v>
      </c>
      <c r="G97" s="55" t="s">
        <v>29</v>
      </c>
      <c r="H97" s="56"/>
      <c r="I97" s="77">
        <f t="shared" si="11"/>
        <v>0</v>
      </c>
      <c r="J97" s="83">
        <v>0</v>
      </c>
      <c r="K97" s="79">
        <f t="shared" si="12"/>
        <v>0</v>
      </c>
    </row>
    <row r="98" spans="1:11" ht="13.8" hidden="1">
      <c r="A98" s="82">
        <v>620</v>
      </c>
      <c r="B98" s="1272" t="s">
        <v>85</v>
      </c>
      <c r="C98" s="1273"/>
      <c r="D98" s="53">
        <v>2800</v>
      </c>
      <c r="E98" s="54" t="s">
        <v>45</v>
      </c>
      <c r="F98" s="86">
        <f t="shared" si="10"/>
        <v>129.23076923076923</v>
      </c>
      <c r="G98" s="55" t="s">
        <v>29</v>
      </c>
      <c r="H98" s="56"/>
      <c r="I98" s="77">
        <f t="shared" si="11"/>
        <v>0</v>
      </c>
      <c r="J98" s="83">
        <v>0</v>
      </c>
      <c r="K98" s="79">
        <f t="shared" si="12"/>
        <v>0</v>
      </c>
    </row>
    <row r="99" spans="1:11" ht="13.8" hidden="1">
      <c r="A99" s="82">
        <v>620</v>
      </c>
      <c r="B99" s="1272" t="s">
        <v>85</v>
      </c>
      <c r="C99" s="1273"/>
      <c r="D99" s="53">
        <v>2800</v>
      </c>
      <c r="E99" s="54" t="s">
        <v>45</v>
      </c>
      <c r="F99" s="86">
        <f t="shared" si="10"/>
        <v>129.23076923076923</v>
      </c>
      <c r="G99" s="55" t="s">
        <v>29</v>
      </c>
      <c r="H99" s="56"/>
      <c r="I99" s="77">
        <f t="shared" si="11"/>
        <v>0</v>
      </c>
      <c r="J99" s="83">
        <v>0</v>
      </c>
      <c r="K99" s="79">
        <f t="shared" si="12"/>
        <v>0</v>
      </c>
    </row>
    <row r="100" spans="1:11" ht="13.8" hidden="1">
      <c r="A100" s="82">
        <v>620</v>
      </c>
      <c r="B100" s="1272" t="s">
        <v>85</v>
      </c>
      <c r="C100" s="1273"/>
      <c r="D100" s="53">
        <v>2800</v>
      </c>
      <c r="E100" s="54" t="s">
        <v>45</v>
      </c>
      <c r="F100" s="86">
        <f t="shared" si="10"/>
        <v>129.23076923076923</v>
      </c>
      <c r="G100" s="55" t="s">
        <v>29</v>
      </c>
      <c r="H100" s="56"/>
      <c r="I100" s="77">
        <f t="shared" si="11"/>
        <v>0</v>
      </c>
      <c r="J100" s="83">
        <v>0</v>
      </c>
      <c r="K100" s="79">
        <f t="shared" si="12"/>
        <v>0</v>
      </c>
    </row>
    <row r="101" spans="1:11" ht="13.8" hidden="1">
      <c r="A101" s="82">
        <v>620</v>
      </c>
      <c r="B101" s="1272" t="s">
        <v>85</v>
      </c>
      <c r="C101" s="1273"/>
      <c r="D101" s="53">
        <v>2800</v>
      </c>
      <c r="E101" s="54" t="s">
        <v>45</v>
      </c>
      <c r="F101" s="86">
        <f t="shared" si="10"/>
        <v>129.23076923076923</v>
      </c>
      <c r="G101" s="55" t="s">
        <v>29</v>
      </c>
      <c r="H101" s="56"/>
      <c r="I101" s="77">
        <f t="shared" si="11"/>
        <v>0</v>
      </c>
      <c r="J101" s="83">
        <v>0</v>
      </c>
      <c r="K101" s="79">
        <f t="shared" si="12"/>
        <v>0</v>
      </c>
    </row>
    <row r="102" spans="1:11" ht="13.8" hidden="1">
      <c r="A102" s="82">
        <v>620</v>
      </c>
      <c r="B102" s="1272" t="s">
        <v>85</v>
      </c>
      <c r="C102" s="1273"/>
      <c r="D102" s="53">
        <v>2800</v>
      </c>
      <c r="E102" s="54" t="s">
        <v>45</v>
      </c>
      <c r="F102" s="86">
        <f t="shared" si="10"/>
        <v>129.23076923076923</v>
      </c>
      <c r="G102" s="55" t="s">
        <v>29</v>
      </c>
      <c r="H102" s="56"/>
      <c r="I102" s="77">
        <f t="shared" si="11"/>
        <v>0</v>
      </c>
      <c r="J102" s="83">
        <v>0</v>
      </c>
      <c r="K102" s="79">
        <f t="shared" si="12"/>
        <v>0</v>
      </c>
    </row>
    <row r="103" spans="1:11" ht="13.8" hidden="1">
      <c r="A103" s="82">
        <v>620</v>
      </c>
      <c r="B103" s="1272" t="s">
        <v>85</v>
      </c>
      <c r="C103" s="1273"/>
      <c r="D103" s="53">
        <v>2800</v>
      </c>
      <c r="E103" s="54" t="s">
        <v>45</v>
      </c>
      <c r="F103" s="86">
        <f t="shared" si="10"/>
        <v>129.23076923076923</v>
      </c>
      <c r="G103" s="55" t="s">
        <v>29</v>
      </c>
      <c r="H103" s="56"/>
      <c r="I103" s="77">
        <f t="shared" si="11"/>
        <v>0</v>
      </c>
      <c r="J103" s="83">
        <v>0</v>
      </c>
      <c r="K103" s="79">
        <f t="shared" si="12"/>
        <v>0</v>
      </c>
    </row>
    <row r="104" spans="1:11" ht="13.8" hidden="1">
      <c r="A104" s="82">
        <v>620</v>
      </c>
      <c r="B104" s="1272" t="s">
        <v>85</v>
      </c>
      <c r="C104" s="1273"/>
      <c r="D104" s="53">
        <v>2800</v>
      </c>
      <c r="E104" s="54" t="s">
        <v>45</v>
      </c>
      <c r="F104" s="86">
        <f t="shared" si="10"/>
        <v>129.23076923076923</v>
      </c>
      <c r="G104" s="55" t="s">
        <v>29</v>
      </c>
      <c r="H104" s="56"/>
      <c r="I104" s="77">
        <f t="shared" si="11"/>
        <v>0</v>
      </c>
      <c r="J104" s="83">
        <v>0</v>
      </c>
      <c r="K104" s="79">
        <f t="shared" si="12"/>
        <v>0</v>
      </c>
    </row>
    <row r="105" spans="1:11" ht="14.4" hidden="1" thickBot="1">
      <c r="A105" s="84">
        <v>620</v>
      </c>
      <c r="B105" s="1308" t="s">
        <v>85</v>
      </c>
      <c r="C105" s="1309"/>
      <c r="D105" s="61">
        <v>2800</v>
      </c>
      <c r="E105" s="62" t="s">
        <v>45</v>
      </c>
      <c r="F105" s="87">
        <f t="shared" si="10"/>
        <v>129.23076923076923</v>
      </c>
      <c r="G105" s="63" t="s">
        <v>29</v>
      </c>
      <c r="H105" s="64"/>
      <c r="I105" s="78">
        <f t="shared" si="11"/>
        <v>0</v>
      </c>
      <c r="J105" s="85">
        <v>0</v>
      </c>
      <c r="K105" s="79">
        <f t="shared" si="12"/>
        <v>0</v>
      </c>
    </row>
    <row r="106" spans="1:11" ht="16.2" hidden="1" thickBot="1">
      <c r="A106" s="139"/>
      <c r="B106" s="111"/>
      <c r="C106" s="66"/>
      <c r="D106" s="1331"/>
      <c r="E106" s="1331"/>
      <c r="F106" s="66"/>
      <c r="G106" s="67"/>
      <c r="H106" s="68"/>
      <c r="I106" s="1300" t="s">
        <v>94</v>
      </c>
      <c r="J106" s="1301"/>
      <c r="K106" s="122">
        <f>SUM(K96:K105)</f>
        <v>0</v>
      </c>
    </row>
    <row r="107" spans="1:11" ht="13.8" hidden="1" thickBot="1">
      <c r="A107" s="136"/>
      <c r="B107" s="137"/>
      <c r="C107" s="137"/>
      <c r="D107" s="137"/>
      <c r="E107" s="137"/>
      <c r="F107" s="137"/>
      <c r="G107" s="137"/>
      <c r="H107" s="137"/>
      <c r="I107" s="137"/>
      <c r="J107" s="137"/>
      <c r="K107" s="138"/>
    </row>
    <row r="108" spans="1:11" ht="14.4" hidden="1" thickBot="1">
      <c r="A108" s="126" t="s">
        <v>51</v>
      </c>
      <c r="B108" s="1234" t="s">
        <v>88</v>
      </c>
      <c r="C108" s="1235"/>
      <c r="D108" s="1236"/>
      <c r="E108" s="99" t="s">
        <v>6</v>
      </c>
      <c r="F108" s="127" t="s">
        <v>7</v>
      </c>
      <c r="G108" s="127" t="s">
        <v>6</v>
      </c>
      <c r="H108" s="128" t="s">
        <v>7</v>
      </c>
      <c r="I108" s="127" t="s">
        <v>33</v>
      </c>
      <c r="J108" s="129" t="s">
        <v>92</v>
      </c>
      <c r="K108" s="138"/>
    </row>
    <row r="109" spans="1:11" ht="13.8" hidden="1">
      <c r="A109" s="101">
        <v>610</v>
      </c>
      <c r="B109" s="1379" t="s">
        <v>53</v>
      </c>
      <c r="C109" s="1380"/>
      <c r="D109" s="1381"/>
      <c r="E109" s="123"/>
      <c r="F109" s="124">
        <v>1</v>
      </c>
      <c r="G109" s="123"/>
      <c r="H109" s="133">
        <v>1</v>
      </c>
      <c r="I109" s="125"/>
      <c r="J109" s="130">
        <f t="shared" ref="J109:J115" si="13">F109*H109*I109</f>
        <v>0</v>
      </c>
      <c r="K109" s="138"/>
    </row>
    <row r="110" spans="1:11" ht="13.8" hidden="1">
      <c r="A110" s="101">
        <v>611</v>
      </c>
      <c r="B110" s="1246" t="s">
        <v>11</v>
      </c>
      <c r="C110" s="1247"/>
      <c r="D110" s="1248"/>
      <c r="E110" s="123"/>
      <c r="F110" s="124">
        <v>1</v>
      </c>
      <c r="G110" s="123"/>
      <c r="H110" s="133">
        <v>1</v>
      </c>
      <c r="I110" s="125"/>
      <c r="J110" s="130">
        <f t="shared" si="13"/>
        <v>0</v>
      </c>
      <c r="K110" s="138"/>
    </row>
    <row r="111" spans="1:11" ht="13.8" hidden="1">
      <c r="A111" s="102">
        <v>611</v>
      </c>
      <c r="B111" s="1246" t="s">
        <v>12</v>
      </c>
      <c r="C111" s="1247"/>
      <c r="D111" s="1248"/>
      <c r="E111" s="103"/>
      <c r="F111" s="124">
        <v>1</v>
      </c>
      <c r="G111" s="103"/>
      <c r="H111" s="134">
        <v>1</v>
      </c>
      <c r="I111" s="104"/>
      <c r="J111" s="131">
        <f t="shared" si="13"/>
        <v>0</v>
      </c>
      <c r="K111" s="138"/>
    </row>
    <row r="112" spans="1:11" ht="13.8" hidden="1">
      <c r="A112" s="102">
        <v>613</v>
      </c>
      <c r="B112" s="1291" t="s">
        <v>14</v>
      </c>
      <c r="C112" s="1292"/>
      <c r="D112" s="1293"/>
      <c r="E112" s="103"/>
      <c r="F112" s="124">
        <v>1</v>
      </c>
      <c r="G112" s="103"/>
      <c r="H112" s="134">
        <v>1</v>
      </c>
      <c r="I112" s="106"/>
      <c r="J112" s="131">
        <f t="shared" si="13"/>
        <v>0</v>
      </c>
      <c r="K112" s="138"/>
    </row>
    <row r="113" spans="1:11" ht="13.8" hidden="1">
      <c r="A113" s="102">
        <v>613</v>
      </c>
      <c r="B113" s="1291" t="s">
        <v>13</v>
      </c>
      <c r="C113" s="1292"/>
      <c r="D113" s="1293"/>
      <c r="E113" s="103"/>
      <c r="F113" s="124">
        <v>1</v>
      </c>
      <c r="G113" s="103"/>
      <c r="H113" s="134">
        <v>1</v>
      </c>
      <c r="I113" s="106"/>
      <c r="J113" s="131">
        <f t="shared" si="13"/>
        <v>0</v>
      </c>
      <c r="K113" s="138"/>
    </row>
    <row r="114" spans="1:11" ht="13.8" hidden="1">
      <c r="A114" s="102">
        <v>613</v>
      </c>
      <c r="B114" s="1246" t="s">
        <v>15</v>
      </c>
      <c r="C114" s="1247"/>
      <c r="D114" s="1248"/>
      <c r="E114" s="103"/>
      <c r="F114" s="124">
        <v>1</v>
      </c>
      <c r="G114" s="103"/>
      <c r="H114" s="134">
        <v>1</v>
      </c>
      <c r="I114" s="104"/>
      <c r="J114" s="131">
        <f t="shared" si="13"/>
        <v>0</v>
      </c>
      <c r="K114" s="138"/>
    </row>
    <row r="115" spans="1:11" ht="14.4" hidden="1" thickBot="1">
      <c r="A115" s="107"/>
      <c r="B115" s="1318"/>
      <c r="C115" s="1319"/>
      <c r="D115" s="1320"/>
      <c r="E115" s="108"/>
      <c r="F115" s="124">
        <v>1</v>
      </c>
      <c r="G115" s="109"/>
      <c r="H115" s="135">
        <v>1</v>
      </c>
      <c r="I115" s="110"/>
      <c r="J115" s="132">
        <f t="shared" si="13"/>
        <v>0</v>
      </c>
      <c r="K115" s="138"/>
    </row>
    <row r="116" spans="1:11" ht="14.4" hidden="1" thickBot="1">
      <c r="A116" s="112"/>
      <c r="B116" s="142"/>
      <c r="C116" s="142"/>
      <c r="D116" s="142"/>
      <c r="E116" s="143"/>
      <c r="F116" s="144"/>
      <c r="G116" s="142"/>
      <c r="H116" s="145"/>
      <c r="I116" s="146" t="s">
        <v>95</v>
      </c>
      <c r="J116" s="147">
        <f>SUM(J109:J115)</f>
        <v>0</v>
      </c>
      <c r="K116" s="140"/>
    </row>
    <row r="117" spans="1:11" ht="13.8" hidden="1" thickBot="1"/>
    <row r="118" spans="1:11" ht="16.2" hidden="1" thickBot="1">
      <c r="A118" s="1237" t="s">
        <v>130</v>
      </c>
      <c r="B118" s="1238"/>
      <c r="C118" s="1238"/>
      <c r="D118" s="1238"/>
      <c r="E118" s="1238"/>
      <c r="F118" s="1238"/>
      <c r="G118" s="1238"/>
      <c r="H118" s="1238"/>
      <c r="I118" s="1302" t="s">
        <v>93</v>
      </c>
      <c r="J118" s="1302"/>
      <c r="K118" s="149">
        <f>K131+J141</f>
        <v>0</v>
      </c>
    </row>
    <row r="119" spans="1:11" ht="13.8" hidden="1" thickBot="1">
      <c r="A119" s="136"/>
      <c r="B119" s="137"/>
      <c r="C119" s="137"/>
      <c r="D119" s="137"/>
      <c r="E119" s="137"/>
      <c r="F119" s="137"/>
      <c r="G119" s="137"/>
      <c r="H119" s="137"/>
      <c r="I119" s="137"/>
      <c r="J119" s="137"/>
      <c r="K119" s="138"/>
    </row>
    <row r="120" spans="1:11" ht="14.4" hidden="1" thickBot="1">
      <c r="A120" s="225" t="s">
        <v>83</v>
      </c>
      <c r="B120" s="1279" t="s">
        <v>89</v>
      </c>
      <c r="C120" s="1280"/>
      <c r="D120" s="224" t="s">
        <v>43</v>
      </c>
      <c r="E120" s="223" t="s">
        <v>44</v>
      </c>
      <c r="F120" s="223" t="s">
        <v>82</v>
      </c>
      <c r="G120" s="223" t="s">
        <v>3</v>
      </c>
      <c r="H120" s="222" t="s">
        <v>4</v>
      </c>
      <c r="I120" s="222" t="s">
        <v>80</v>
      </c>
      <c r="J120" s="221" t="s">
        <v>84</v>
      </c>
      <c r="K120" s="220" t="s">
        <v>17</v>
      </c>
    </row>
    <row r="121" spans="1:11" ht="13.8" hidden="1">
      <c r="A121" s="82">
        <v>620</v>
      </c>
      <c r="B121" s="1313" t="s">
        <v>85</v>
      </c>
      <c r="C121" s="1314"/>
      <c r="D121" s="53">
        <v>2800</v>
      </c>
      <c r="E121" s="54" t="s">
        <v>45</v>
      </c>
      <c r="F121" s="219">
        <f t="shared" ref="F121:F130" si="14">IF(E121="5jours/sem", D121*3/13/5,IF(E121="6jours/sem",D121*3/13/6,""))</f>
        <v>129.23076923076923</v>
      </c>
      <c r="G121" s="55" t="s">
        <v>29</v>
      </c>
      <c r="H121" s="56"/>
      <c r="I121" s="77">
        <f t="shared" ref="I121:I130" si="15">IF(E121="",0,IF(G121="",0,IF(E121="5jours/sem",IF(G121="Jour",H121*D121*3/13/5,IF(G121="Semaine",H121*D121*3/13,IF(G121="Mois",H121*D121,0))),IF(E121="6jours/sem",IF(G121="Jour",H121*D121*3/13/6,IF(G121="Semaine",H121*D121*3/13,IF(G121="Mois",H121*D121,0)))))))</f>
        <v>0</v>
      </c>
      <c r="J121" s="218">
        <v>0</v>
      </c>
      <c r="K121" s="79">
        <f t="shared" ref="K121:K130" si="16">I121*K$1+J121*H121</f>
        <v>0</v>
      </c>
    </row>
    <row r="122" spans="1:11" ht="13.8" hidden="1">
      <c r="A122" s="82">
        <v>620</v>
      </c>
      <c r="B122" s="1272" t="s">
        <v>85</v>
      </c>
      <c r="C122" s="1273"/>
      <c r="D122" s="53">
        <v>2800</v>
      </c>
      <c r="E122" s="54" t="s">
        <v>45</v>
      </c>
      <c r="F122" s="86">
        <f t="shared" si="14"/>
        <v>129.23076923076923</v>
      </c>
      <c r="G122" s="55" t="s">
        <v>29</v>
      </c>
      <c r="H122" s="56"/>
      <c r="I122" s="77">
        <f t="shared" si="15"/>
        <v>0</v>
      </c>
      <c r="J122" s="83">
        <v>0</v>
      </c>
      <c r="K122" s="79">
        <f t="shared" si="16"/>
        <v>0</v>
      </c>
    </row>
    <row r="123" spans="1:11" ht="13.8" hidden="1">
      <c r="A123" s="82">
        <v>620</v>
      </c>
      <c r="B123" s="1272" t="s">
        <v>85</v>
      </c>
      <c r="C123" s="1273"/>
      <c r="D123" s="53">
        <v>2800</v>
      </c>
      <c r="E123" s="54" t="s">
        <v>45</v>
      </c>
      <c r="F123" s="86">
        <f t="shared" si="14"/>
        <v>129.23076923076923</v>
      </c>
      <c r="G123" s="55" t="s">
        <v>29</v>
      </c>
      <c r="H123" s="56"/>
      <c r="I123" s="77">
        <f t="shared" si="15"/>
        <v>0</v>
      </c>
      <c r="J123" s="83">
        <v>0</v>
      </c>
      <c r="K123" s="79">
        <f t="shared" si="16"/>
        <v>0</v>
      </c>
    </row>
    <row r="124" spans="1:11" ht="13.8" hidden="1">
      <c r="A124" s="82">
        <v>620</v>
      </c>
      <c r="B124" s="1272" t="s">
        <v>85</v>
      </c>
      <c r="C124" s="1273"/>
      <c r="D124" s="53">
        <v>2800</v>
      </c>
      <c r="E124" s="54" t="s">
        <v>45</v>
      </c>
      <c r="F124" s="86">
        <f t="shared" si="14"/>
        <v>129.23076923076923</v>
      </c>
      <c r="G124" s="55" t="s">
        <v>29</v>
      </c>
      <c r="H124" s="56"/>
      <c r="I124" s="77">
        <f t="shared" si="15"/>
        <v>0</v>
      </c>
      <c r="J124" s="83">
        <v>0</v>
      </c>
      <c r="K124" s="79">
        <f t="shared" si="16"/>
        <v>0</v>
      </c>
    </row>
    <row r="125" spans="1:11" ht="13.8" hidden="1">
      <c r="A125" s="82">
        <v>620</v>
      </c>
      <c r="B125" s="1272" t="s">
        <v>85</v>
      </c>
      <c r="C125" s="1273"/>
      <c r="D125" s="53">
        <v>2800</v>
      </c>
      <c r="E125" s="54" t="s">
        <v>45</v>
      </c>
      <c r="F125" s="86">
        <f t="shared" si="14"/>
        <v>129.23076923076923</v>
      </c>
      <c r="G125" s="55" t="s">
        <v>29</v>
      </c>
      <c r="H125" s="56"/>
      <c r="I125" s="77">
        <f t="shared" si="15"/>
        <v>0</v>
      </c>
      <c r="J125" s="83">
        <v>0</v>
      </c>
      <c r="K125" s="79">
        <f t="shared" si="16"/>
        <v>0</v>
      </c>
    </row>
    <row r="126" spans="1:11" ht="13.8" hidden="1">
      <c r="A126" s="82">
        <v>620</v>
      </c>
      <c r="B126" s="1272" t="s">
        <v>85</v>
      </c>
      <c r="C126" s="1273"/>
      <c r="D126" s="53">
        <v>2800</v>
      </c>
      <c r="E126" s="54" t="s">
        <v>45</v>
      </c>
      <c r="F126" s="86">
        <f t="shared" si="14"/>
        <v>129.23076923076923</v>
      </c>
      <c r="G126" s="55" t="s">
        <v>29</v>
      </c>
      <c r="H126" s="56"/>
      <c r="I126" s="77">
        <f t="shared" si="15"/>
        <v>0</v>
      </c>
      <c r="J126" s="83">
        <v>0</v>
      </c>
      <c r="K126" s="79">
        <f t="shared" si="16"/>
        <v>0</v>
      </c>
    </row>
    <row r="127" spans="1:11" ht="13.8" hidden="1">
      <c r="A127" s="82">
        <v>620</v>
      </c>
      <c r="B127" s="1272" t="s">
        <v>85</v>
      </c>
      <c r="C127" s="1273"/>
      <c r="D127" s="53">
        <v>2800</v>
      </c>
      <c r="E127" s="54" t="s">
        <v>45</v>
      </c>
      <c r="F127" s="86">
        <f t="shared" si="14"/>
        <v>129.23076923076923</v>
      </c>
      <c r="G127" s="55" t="s">
        <v>29</v>
      </c>
      <c r="H127" s="56"/>
      <c r="I127" s="77">
        <f t="shared" si="15"/>
        <v>0</v>
      </c>
      <c r="J127" s="83">
        <v>0</v>
      </c>
      <c r="K127" s="79">
        <f t="shared" si="16"/>
        <v>0</v>
      </c>
    </row>
    <row r="128" spans="1:11" ht="13.8" hidden="1">
      <c r="A128" s="82">
        <v>620</v>
      </c>
      <c r="B128" s="1272" t="s">
        <v>85</v>
      </c>
      <c r="C128" s="1273"/>
      <c r="D128" s="53">
        <v>2800</v>
      </c>
      <c r="E128" s="54" t="s">
        <v>45</v>
      </c>
      <c r="F128" s="86">
        <f t="shared" si="14"/>
        <v>129.23076923076923</v>
      </c>
      <c r="G128" s="55" t="s">
        <v>29</v>
      </c>
      <c r="H128" s="56"/>
      <c r="I128" s="77">
        <f t="shared" si="15"/>
        <v>0</v>
      </c>
      <c r="J128" s="83">
        <v>0</v>
      </c>
      <c r="K128" s="79">
        <f t="shared" si="16"/>
        <v>0</v>
      </c>
    </row>
    <row r="129" spans="1:11" ht="13.8" hidden="1">
      <c r="A129" s="82">
        <v>620</v>
      </c>
      <c r="B129" s="1272" t="s">
        <v>85</v>
      </c>
      <c r="C129" s="1273"/>
      <c r="D129" s="53">
        <v>2800</v>
      </c>
      <c r="E129" s="54" t="s">
        <v>45</v>
      </c>
      <c r="F129" s="86">
        <f t="shared" si="14"/>
        <v>129.23076923076923</v>
      </c>
      <c r="G129" s="55" t="s">
        <v>29</v>
      </c>
      <c r="H129" s="56"/>
      <c r="I129" s="77">
        <f t="shared" si="15"/>
        <v>0</v>
      </c>
      <c r="J129" s="83">
        <v>0</v>
      </c>
      <c r="K129" s="79">
        <f t="shared" si="16"/>
        <v>0</v>
      </c>
    </row>
    <row r="130" spans="1:11" ht="14.4" hidden="1" thickBot="1">
      <c r="A130" s="84">
        <v>620</v>
      </c>
      <c r="B130" s="1308" t="s">
        <v>85</v>
      </c>
      <c r="C130" s="1309"/>
      <c r="D130" s="61">
        <v>2800</v>
      </c>
      <c r="E130" s="62" t="s">
        <v>45</v>
      </c>
      <c r="F130" s="87">
        <f t="shared" si="14"/>
        <v>129.23076923076923</v>
      </c>
      <c r="G130" s="63" t="s">
        <v>29</v>
      </c>
      <c r="H130" s="64"/>
      <c r="I130" s="78">
        <f t="shared" si="15"/>
        <v>0</v>
      </c>
      <c r="J130" s="85">
        <v>0</v>
      </c>
      <c r="K130" s="79">
        <f t="shared" si="16"/>
        <v>0</v>
      </c>
    </row>
    <row r="131" spans="1:11" ht="16.2" hidden="1" thickBot="1">
      <c r="A131" s="139"/>
      <c r="B131" s="111"/>
      <c r="C131" s="66"/>
      <c r="D131" s="1331"/>
      <c r="E131" s="1331"/>
      <c r="F131" s="66"/>
      <c r="G131" s="67"/>
      <c r="H131" s="68"/>
      <c r="I131" s="1300" t="s">
        <v>94</v>
      </c>
      <c r="J131" s="1301"/>
      <c r="K131" s="122">
        <f>SUM(K121:K130)</f>
        <v>0</v>
      </c>
    </row>
    <row r="132" spans="1:11" ht="13.8" hidden="1" thickBot="1">
      <c r="A132" s="136"/>
      <c r="B132" s="137"/>
      <c r="C132" s="137"/>
      <c r="D132" s="137"/>
      <c r="E132" s="137"/>
      <c r="F132" s="137"/>
      <c r="G132" s="137"/>
      <c r="H132" s="137"/>
      <c r="I132" s="137"/>
      <c r="J132" s="137"/>
      <c r="K132" s="138"/>
    </row>
    <row r="133" spans="1:11" ht="14.4" hidden="1" thickBot="1">
      <c r="A133" s="126" t="s">
        <v>51</v>
      </c>
      <c r="B133" s="1234" t="s">
        <v>88</v>
      </c>
      <c r="C133" s="1235"/>
      <c r="D133" s="1236"/>
      <c r="E133" s="99" t="s">
        <v>6</v>
      </c>
      <c r="F133" s="127" t="s">
        <v>7</v>
      </c>
      <c r="G133" s="127" t="s">
        <v>6</v>
      </c>
      <c r="H133" s="128" t="s">
        <v>7</v>
      </c>
      <c r="I133" s="127" t="s">
        <v>33</v>
      </c>
      <c r="J133" s="129" t="s">
        <v>92</v>
      </c>
      <c r="K133" s="138"/>
    </row>
    <row r="134" spans="1:11" ht="13.8" hidden="1">
      <c r="A134" s="101">
        <v>610</v>
      </c>
      <c r="B134" s="1379" t="s">
        <v>53</v>
      </c>
      <c r="C134" s="1380"/>
      <c r="D134" s="1381"/>
      <c r="E134" s="123"/>
      <c r="F134" s="124">
        <v>1</v>
      </c>
      <c r="G134" s="123"/>
      <c r="H134" s="133">
        <v>1</v>
      </c>
      <c r="I134" s="125"/>
      <c r="J134" s="130">
        <f t="shared" ref="J134:J140" si="17">F134*H134*I134</f>
        <v>0</v>
      </c>
      <c r="K134" s="138"/>
    </row>
    <row r="135" spans="1:11" ht="13.8" hidden="1">
      <c r="A135" s="101">
        <v>611</v>
      </c>
      <c r="B135" s="1246" t="s">
        <v>11</v>
      </c>
      <c r="C135" s="1247"/>
      <c r="D135" s="1248"/>
      <c r="E135" s="123"/>
      <c r="F135" s="124">
        <v>1</v>
      </c>
      <c r="G135" s="123"/>
      <c r="H135" s="133">
        <v>1</v>
      </c>
      <c r="I135" s="125"/>
      <c r="J135" s="130">
        <f t="shared" si="17"/>
        <v>0</v>
      </c>
      <c r="K135" s="138"/>
    </row>
    <row r="136" spans="1:11" ht="13.8" hidden="1">
      <c r="A136" s="102">
        <v>611</v>
      </c>
      <c r="B136" s="1246" t="s">
        <v>12</v>
      </c>
      <c r="C136" s="1247"/>
      <c r="D136" s="1248"/>
      <c r="E136" s="103"/>
      <c r="F136" s="124">
        <v>1</v>
      </c>
      <c r="G136" s="103"/>
      <c r="H136" s="134">
        <v>1</v>
      </c>
      <c r="I136" s="104"/>
      <c r="J136" s="131">
        <f t="shared" si="17"/>
        <v>0</v>
      </c>
      <c r="K136" s="138"/>
    </row>
    <row r="137" spans="1:11" ht="13.8" hidden="1">
      <c r="A137" s="102">
        <v>613</v>
      </c>
      <c r="B137" s="1291" t="s">
        <v>14</v>
      </c>
      <c r="C137" s="1292"/>
      <c r="D137" s="1293"/>
      <c r="E137" s="103"/>
      <c r="F137" s="124">
        <v>1</v>
      </c>
      <c r="G137" s="103"/>
      <c r="H137" s="134">
        <v>1</v>
      </c>
      <c r="I137" s="106"/>
      <c r="J137" s="131">
        <f t="shared" si="17"/>
        <v>0</v>
      </c>
      <c r="K137" s="138"/>
    </row>
    <row r="138" spans="1:11" ht="13.8" hidden="1">
      <c r="A138" s="102">
        <v>613</v>
      </c>
      <c r="B138" s="1291" t="s">
        <v>13</v>
      </c>
      <c r="C138" s="1292"/>
      <c r="D138" s="1293"/>
      <c r="E138" s="103"/>
      <c r="F138" s="124">
        <v>1</v>
      </c>
      <c r="G138" s="103"/>
      <c r="H138" s="134">
        <v>1</v>
      </c>
      <c r="I138" s="106"/>
      <c r="J138" s="131">
        <f t="shared" si="17"/>
        <v>0</v>
      </c>
      <c r="K138" s="138"/>
    </row>
    <row r="139" spans="1:11" ht="13.8" hidden="1">
      <c r="A139" s="102">
        <v>613</v>
      </c>
      <c r="B139" s="1246" t="s">
        <v>15</v>
      </c>
      <c r="C139" s="1247"/>
      <c r="D139" s="1248"/>
      <c r="E139" s="103"/>
      <c r="F139" s="124">
        <v>1</v>
      </c>
      <c r="G139" s="103"/>
      <c r="H139" s="134">
        <v>1</v>
      </c>
      <c r="I139" s="104"/>
      <c r="J139" s="131">
        <f t="shared" si="17"/>
        <v>0</v>
      </c>
      <c r="K139" s="138"/>
    </row>
    <row r="140" spans="1:11" ht="14.4" hidden="1" thickBot="1">
      <c r="A140" s="107"/>
      <c r="B140" s="1318"/>
      <c r="C140" s="1319"/>
      <c r="D140" s="1320"/>
      <c r="E140" s="108"/>
      <c r="F140" s="124">
        <v>1</v>
      </c>
      <c r="G140" s="109"/>
      <c r="H140" s="135">
        <v>1</v>
      </c>
      <c r="I140" s="110"/>
      <c r="J140" s="132">
        <f t="shared" si="17"/>
        <v>0</v>
      </c>
      <c r="K140" s="138"/>
    </row>
    <row r="141" spans="1:11" ht="14.4" hidden="1" thickBot="1">
      <c r="A141" s="112"/>
      <c r="B141" s="142"/>
      <c r="C141" s="142"/>
      <c r="D141" s="142"/>
      <c r="E141" s="143"/>
      <c r="F141" s="144"/>
      <c r="G141" s="142"/>
      <c r="H141" s="145"/>
      <c r="I141" s="146" t="s">
        <v>95</v>
      </c>
      <c r="J141" s="147">
        <f>SUM(J134:J140)</f>
        <v>0</v>
      </c>
      <c r="K141" s="140"/>
    </row>
    <row r="142" spans="1:11" ht="13.8" hidden="1" thickBot="1"/>
    <row r="143" spans="1:11" ht="16.2" hidden="1" thickBot="1">
      <c r="A143" s="1237" t="s">
        <v>96</v>
      </c>
      <c r="B143" s="1238"/>
      <c r="C143" s="1238"/>
      <c r="D143" s="1238"/>
      <c r="E143" s="1238"/>
      <c r="F143" s="1238"/>
      <c r="G143" s="1238"/>
      <c r="H143" s="1238"/>
      <c r="I143" s="1302" t="s">
        <v>93</v>
      </c>
      <c r="J143" s="1302"/>
      <c r="K143" s="149">
        <f>K156+J166</f>
        <v>0</v>
      </c>
    </row>
    <row r="144" spans="1:11" ht="13.8" hidden="1" thickBot="1">
      <c r="A144" s="136"/>
      <c r="B144" s="137"/>
      <c r="C144" s="137"/>
      <c r="D144" s="137"/>
      <c r="E144" s="137"/>
      <c r="F144" s="137"/>
      <c r="G144" s="137"/>
      <c r="H144" s="137"/>
      <c r="I144" s="137"/>
      <c r="J144" s="137"/>
      <c r="K144" s="138"/>
    </row>
    <row r="145" spans="1:11" ht="14.4" hidden="1" thickBot="1">
      <c r="A145" s="225" t="s">
        <v>83</v>
      </c>
      <c r="B145" s="1279" t="s">
        <v>89</v>
      </c>
      <c r="C145" s="1280"/>
      <c r="D145" s="224" t="s">
        <v>43</v>
      </c>
      <c r="E145" s="223" t="s">
        <v>44</v>
      </c>
      <c r="F145" s="223" t="s">
        <v>82</v>
      </c>
      <c r="G145" s="223" t="s">
        <v>3</v>
      </c>
      <c r="H145" s="222" t="s">
        <v>4</v>
      </c>
      <c r="I145" s="222" t="s">
        <v>80</v>
      </c>
      <c r="J145" s="221" t="s">
        <v>84</v>
      </c>
      <c r="K145" s="220" t="s">
        <v>17</v>
      </c>
    </row>
    <row r="146" spans="1:11" ht="13.8" hidden="1">
      <c r="A146" s="82">
        <v>620</v>
      </c>
      <c r="B146" s="1313" t="s">
        <v>85</v>
      </c>
      <c r="C146" s="1314"/>
      <c r="D146" s="53">
        <v>2800</v>
      </c>
      <c r="E146" s="54" t="s">
        <v>45</v>
      </c>
      <c r="F146" s="219">
        <f t="shared" ref="F146:F155" si="18">IF(E146="5jours/sem", D146*3/13/5,IF(E146="6jours/sem",D146*3/13/6,""))</f>
        <v>129.23076923076923</v>
      </c>
      <c r="G146" s="55" t="s">
        <v>29</v>
      </c>
      <c r="H146" s="56"/>
      <c r="I146" s="77">
        <f t="shared" ref="I146:I155" si="19">IF(E146="",0,IF(G146="",0,IF(E146="5jours/sem",IF(G146="Jour",H146*D146*3/13/5,IF(G146="Semaine",H146*D146*3/13,IF(G146="Mois",H146*D146,0))),IF(E146="6jours/sem",IF(G146="Jour",H146*D146*3/13/6,IF(G146="Semaine",H146*D146*3/13,IF(G146="Mois",H146*D146,0)))))))</f>
        <v>0</v>
      </c>
      <c r="J146" s="218">
        <v>0</v>
      </c>
      <c r="K146" s="79">
        <f t="shared" ref="K146:K155" si="20">I146*K$1+J146*H146</f>
        <v>0</v>
      </c>
    </row>
    <row r="147" spans="1:11" ht="13.8" hidden="1">
      <c r="A147" s="82">
        <v>620</v>
      </c>
      <c r="B147" s="1272" t="s">
        <v>85</v>
      </c>
      <c r="C147" s="1273"/>
      <c r="D147" s="53">
        <v>2800</v>
      </c>
      <c r="E147" s="54" t="s">
        <v>45</v>
      </c>
      <c r="F147" s="86">
        <f t="shared" si="18"/>
        <v>129.23076923076923</v>
      </c>
      <c r="G147" s="55" t="s">
        <v>29</v>
      </c>
      <c r="H147" s="56"/>
      <c r="I147" s="77">
        <f t="shared" si="19"/>
        <v>0</v>
      </c>
      <c r="J147" s="83">
        <v>0</v>
      </c>
      <c r="K147" s="79">
        <f t="shared" si="20"/>
        <v>0</v>
      </c>
    </row>
    <row r="148" spans="1:11" ht="13.8" hidden="1">
      <c r="A148" s="82">
        <v>620</v>
      </c>
      <c r="B148" s="1272" t="s">
        <v>85</v>
      </c>
      <c r="C148" s="1273"/>
      <c r="D148" s="53">
        <v>2800</v>
      </c>
      <c r="E148" s="54" t="s">
        <v>45</v>
      </c>
      <c r="F148" s="86">
        <f t="shared" si="18"/>
        <v>129.23076923076923</v>
      </c>
      <c r="G148" s="55" t="s">
        <v>29</v>
      </c>
      <c r="H148" s="56"/>
      <c r="I148" s="77">
        <f t="shared" si="19"/>
        <v>0</v>
      </c>
      <c r="J148" s="83">
        <v>0</v>
      </c>
      <c r="K148" s="79">
        <f t="shared" si="20"/>
        <v>0</v>
      </c>
    </row>
    <row r="149" spans="1:11" ht="13.8" hidden="1">
      <c r="A149" s="82">
        <v>620</v>
      </c>
      <c r="B149" s="1272" t="s">
        <v>85</v>
      </c>
      <c r="C149" s="1273"/>
      <c r="D149" s="53">
        <v>2800</v>
      </c>
      <c r="E149" s="54" t="s">
        <v>45</v>
      </c>
      <c r="F149" s="86">
        <f t="shared" si="18"/>
        <v>129.23076923076923</v>
      </c>
      <c r="G149" s="55" t="s">
        <v>29</v>
      </c>
      <c r="H149" s="56"/>
      <c r="I149" s="77">
        <f t="shared" si="19"/>
        <v>0</v>
      </c>
      <c r="J149" s="83">
        <v>0</v>
      </c>
      <c r="K149" s="79">
        <f t="shared" si="20"/>
        <v>0</v>
      </c>
    </row>
    <row r="150" spans="1:11" ht="13.8" hidden="1">
      <c r="A150" s="82">
        <v>620</v>
      </c>
      <c r="B150" s="1272" t="s">
        <v>85</v>
      </c>
      <c r="C150" s="1273"/>
      <c r="D150" s="53">
        <v>2800</v>
      </c>
      <c r="E150" s="54" t="s">
        <v>45</v>
      </c>
      <c r="F150" s="86">
        <f t="shared" si="18"/>
        <v>129.23076923076923</v>
      </c>
      <c r="G150" s="55" t="s">
        <v>29</v>
      </c>
      <c r="H150" s="56"/>
      <c r="I150" s="77">
        <f t="shared" si="19"/>
        <v>0</v>
      </c>
      <c r="J150" s="83">
        <v>0</v>
      </c>
      <c r="K150" s="79">
        <f t="shared" si="20"/>
        <v>0</v>
      </c>
    </row>
    <row r="151" spans="1:11" ht="13.8" hidden="1">
      <c r="A151" s="82">
        <v>620</v>
      </c>
      <c r="B151" s="1272" t="s">
        <v>85</v>
      </c>
      <c r="C151" s="1273"/>
      <c r="D151" s="53">
        <v>2800</v>
      </c>
      <c r="E151" s="54" t="s">
        <v>45</v>
      </c>
      <c r="F151" s="86">
        <f t="shared" si="18"/>
        <v>129.23076923076923</v>
      </c>
      <c r="G151" s="55" t="s">
        <v>29</v>
      </c>
      <c r="H151" s="56"/>
      <c r="I151" s="77">
        <f t="shared" si="19"/>
        <v>0</v>
      </c>
      <c r="J151" s="83">
        <v>0</v>
      </c>
      <c r="K151" s="79">
        <f t="shared" si="20"/>
        <v>0</v>
      </c>
    </row>
    <row r="152" spans="1:11" ht="13.8" hidden="1">
      <c r="A152" s="82">
        <v>620</v>
      </c>
      <c r="B152" s="1272" t="s">
        <v>85</v>
      </c>
      <c r="C152" s="1273"/>
      <c r="D152" s="53">
        <v>2800</v>
      </c>
      <c r="E152" s="54" t="s">
        <v>45</v>
      </c>
      <c r="F152" s="86">
        <f t="shared" si="18"/>
        <v>129.23076923076923</v>
      </c>
      <c r="G152" s="55" t="s">
        <v>29</v>
      </c>
      <c r="H152" s="56"/>
      <c r="I152" s="77">
        <f t="shared" si="19"/>
        <v>0</v>
      </c>
      <c r="J152" s="83">
        <v>0</v>
      </c>
      <c r="K152" s="79">
        <f t="shared" si="20"/>
        <v>0</v>
      </c>
    </row>
    <row r="153" spans="1:11" ht="13.8" hidden="1">
      <c r="A153" s="82">
        <v>620</v>
      </c>
      <c r="B153" s="1272" t="s">
        <v>85</v>
      </c>
      <c r="C153" s="1273"/>
      <c r="D153" s="53">
        <v>2800</v>
      </c>
      <c r="E153" s="54" t="s">
        <v>45</v>
      </c>
      <c r="F153" s="86">
        <f t="shared" si="18"/>
        <v>129.23076923076923</v>
      </c>
      <c r="G153" s="55" t="s">
        <v>29</v>
      </c>
      <c r="H153" s="56"/>
      <c r="I153" s="77">
        <f t="shared" si="19"/>
        <v>0</v>
      </c>
      <c r="J153" s="83">
        <v>0</v>
      </c>
      <c r="K153" s="79">
        <f t="shared" si="20"/>
        <v>0</v>
      </c>
    </row>
    <row r="154" spans="1:11" ht="13.8" hidden="1">
      <c r="A154" s="82">
        <v>620</v>
      </c>
      <c r="B154" s="1272" t="s">
        <v>85</v>
      </c>
      <c r="C154" s="1273"/>
      <c r="D154" s="53">
        <v>2800</v>
      </c>
      <c r="E154" s="54" t="s">
        <v>45</v>
      </c>
      <c r="F154" s="86">
        <f t="shared" si="18"/>
        <v>129.23076923076923</v>
      </c>
      <c r="G154" s="55" t="s">
        <v>29</v>
      </c>
      <c r="H154" s="56"/>
      <c r="I154" s="77">
        <f t="shared" si="19"/>
        <v>0</v>
      </c>
      <c r="J154" s="83">
        <v>0</v>
      </c>
      <c r="K154" s="79">
        <f t="shared" si="20"/>
        <v>0</v>
      </c>
    </row>
    <row r="155" spans="1:11" ht="14.4" hidden="1" thickBot="1">
      <c r="A155" s="84">
        <v>620</v>
      </c>
      <c r="B155" s="1308" t="s">
        <v>85</v>
      </c>
      <c r="C155" s="1309"/>
      <c r="D155" s="61">
        <v>2800</v>
      </c>
      <c r="E155" s="62" t="s">
        <v>45</v>
      </c>
      <c r="F155" s="87">
        <f t="shared" si="18"/>
        <v>129.23076923076923</v>
      </c>
      <c r="G155" s="63" t="s">
        <v>29</v>
      </c>
      <c r="H155" s="64"/>
      <c r="I155" s="78">
        <f t="shared" si="19"/>
        <v>0</v>
      </c>
      <c r="J155" s="85">
        <v>0</v>
      </c>
      <c r="K155" s="79">
        <f t="shared" si="20"/>
        <v>0</v>
      </c>
    </row>
    <row r="156" spans="1:11" ht="16.2" hidden="1" thickBot="1">
      <c r="A156" s="139"/>
      <c r="B156" s="111"/>
      <c r="C156" s="66"/>
      <c r="D156" s="1331"/>
      <c r="E156" s="1331"/>
      <c r="F156" s="66"/>
      <c r="G156" s="67"/>
      <c r="H156" s="68"/>
      <c r="I156" s="1300" t="s">
        <v>94</v>
      </c>
      <c r="J156" s="1301"/>
      <c r="K156" s="122">
        <f>SUM(K146:K155)</f>
        <v>0</v>
      </c>
    </row>
    <row r="157" spans="1:11" ht="13.8" hidden="1" thickBot="1">
      <c r="A157" s="136"/>
      <c r="B157" s="137"/>
      <c r="C157" s="137"/>
      <c r="D157" s="137"/>
      <c r="E157" s="137"/>
      <c r="F157" s="137"/>
      <c r="G157" s="137"/>
      <c r="H157" s="137"/>
      <c r="I157" s="137"/>
      <c r="J157" s="137"/>
      <c r="K157" s="138"/>
    </row>
    <row r="158" spans="1:11" ht="14.4" hidden="1" thickBot="1">
      <c r="A158" s="126" t="s">
        <v>51</v>
      </c>
      <c r="B158" s="1234" t="s">
        <v>88</v>
      </c>
      <c r="C158" s="1235"/>
      <c r="D158" s="1236"/>
      <c r="E158" s="99" t="s">
        <v>6</v>
      </c>
      <c r="F158" s="127" t="s">
        <v>7</v>
      </c>
      <c r="G158" s="127" t="s">
        <v>6</v>
      </c>
      <c r="H158" s="128" t="s">
        <v>7</v>
      </c>
      <c r="I158" s="127" t="s">
        <v>33</v>
      </c>
      <c r="J158" s="129" t="s">
        <v>92</v>
      </c>
      <c r="K158" s="138"/>
    </row>
    <row r="159" spans="1:11" ht="13.8" hidden="1">
      <c r="A159" s="101">
        <v>610</v>
      </c>
      <c r="B159" s="1379" t="s">
        <v>53</v>
      </c>
      <c r="C159" s="1380"/>
      <c r="D159" s="1381"/>
      <c r="E159" s="123"/>
      <c r="F159" s="124">
        <v>1</v>
      </c>
      <c r="G159" s="123"/>
      <c r="H159" s="133">
        <v>1</v>
      </c>
      <c r="I159" s="125"/>
      <c r="J159" s="130">
        <f t="shared" ref="J159:J165" si="21">F159*H159*I159</f>
        <v>0</v>
      </c>
      <c r="K159" s="138"/>
    </row>
    <row r="160" spans="1:11" ht="13.8" hidden="1">
      <c r="A160" s="101">
        <v>611</v>
      </c>
      <c r="B160" s="1246" t="s">
        <v>11</v>
      </c>
      <c r="C160" s="1247"/>
      <c r="D160" s="1248"/>
      <c r="E160" s="123"/>
      <c r="F160" s="124">
        <v>1</v>
      </c>
      <c r="G160" s="123"/>
      <c r="H160" s="133">
        <v>1</v>
      </c>
      <c r="I160" s="125"/>
      <c r="J160" s="130">
        <f t="shared" si="21"/>
        <v>0</v>
      </c>
      <c r="K160" s="138"/>
    </row>
    <row r="161" spans="1:11" ht="13.8" hidden="1">
      <c r="A161" s="102">
        <v>611</v>
      </c>
      <c r="B161" s="1246" t="s">
        <v>12</v>
      </c>
      <c r="C161" s="1247"/>
      <c r="D161" s="1248"/>
      <c r="E161" s="103"/>
      <c r="F161" s="124">
        <v>1</v>
      </c>
      <c r="G161" s="103"/>
      <c r="H161" s="134">
        <v>1</v>
      </c>
      <c r="I161" s="104"/>
      <c r="J161" s="131">
        <f t="shared" si="21"/>
        <v>0</v>
      </c>
      <c r="K161" s="138"/>
    </row>
    <row r="162" spans="1:11" ht="13.8" hidden="1">
      <c r="A162" s="102">
        <v>613</v>
      </c>
      <c r="B162" s="1291" t="s">
        <v>14</v>
      </c>
      <c r="C162" s="1292"/>
      <c r="D162" s="1293"/>
      <c r="E162" s="103"/>
      <c r="F162" s="124">
        <v>1</v>
      </c>
      <c r="G162" s="103"/>
      <c r="H162" s="134">
        <v>1</v>
      </c>
      <c r="I162" s="106"/>
      <c r="J162" s="131">
        <f t="shared" si="21"/>
        <v>0</v>
      </c>
      <c r="K162" s="138"/>
    </row>
    <row r="163" spans="1:11" ht="13.8" hidden="1">
      <c r="A163" s="102">
        <v>613</v>
      </c>
      <c r="B163" s="1291" t="s">
        <v>13</v>
      </c>
      <c r="C163" s="1292"/>
      <c r="D163" s="1293"/>
      <c r="E163" s="103"/>
      <c r="F163" s="124">
        <v>1</v>
      </c>
      <c r="G163" s="103"/>
      <c r="H163" s="134">
        <v>1</v>
      </c>
      <c r="I163" s="106"/>
      <c r="J163" s="131">
        <f t="shared" si="21"/>
        <v>0</v>
      </c>
      <c r="K163" s="138"/>
    </row>
    <row r="164" spans="1:11" ht="13.8" hidden="1">
      <c r="A164" s="102">
        <v>613</v>
      </c>
      <c r="B164" s="1246" t="s">
        <v>15</v>
      </c>
      <c r="C164" s="1247"/>
      <c r="D164" s="1248"/>
      <c r="E164" s="103"/>
      <c r="F164" s="124">
        <v>1</v>
      </c>
      <c r="G164" s="103"/>
      <c r="H164" s="134">
        <v>1</v>
      </c>
      <c r="I164" s="104"/>
      <c r="J164" s="131">
        <f t="shared" si="21"/>
        <v>0</v>
      </c>
      <c r="K164" s="138"/>
    </row>
    <row r="165" spans="1:11" ht="14.4" hidden="1" thickBot="1">
      <c r="A165" s="107"/>
      <c r="B165" s="1318"/>
      <c r="C165" s="1319"/>
      <c r="D165" s="1320"/>
      <c r="E165" s="108"/>
      <c r="F165" s="124">
        <v>1</v>
      </c>
      <c r="G165" s="109"/>
      <c r="H165" s="135">
        <v>1</v>
      </c>
      <c r="I165" s="110"/>
      <c r="J165" s="132">
        <f t="shared" si="21"/>
        <v>0</v>
      </c>
      <c r="K165" s="138"/>
    </row>
    <row r="166" spans="1:11" ht="14.4" hidden="1" thickBot="1">
      <c r="A166" s="112"/>
      <c r="B166" s="142"/>
      <c r="C166" s="142"/>
      <c r="D166" s="142"/>
      <c r="E166" s="143"/>
      <c r="F166" s="144"/>
      <c r="G166" s="142"/>
      <c r="H166" s="145"/>
      <c r="I166" s="146" t="s">
        <v>95</v>
      </c>
      <c r="J166" s="147">
        <f>SUM(J159:J165)</f>
        <v>0</v>
      </c>
      <c r="K166" s="140"/>
    </row>
    <row r="167" spans="1:11" ht="13.8" hidden="1" thickBot="1"/>
    <row r="168" spans="1:11" ht="16.2" hidden="1" thickBot="1">
      <c r="A168" s="1237" t="s">
        <v>97</v>
      </c>
      <c r="B168" s="1238"/>
      <c r="C168" s="1238"/>
      <c r="D168" s="1238"/>
      <c r="E168" s="1238"/>
      <c r="F168" s="1238"/>
      <c r="G168" s="1238"/>
      <c r="H168" s="1238"/>
      <c r="I168" s="1302" t="s">
        <v>93</v>
      </c>
      <c r="J168" s="1302"/>
      <c r="K168" s="149">
        <f>K181+J191</f>
        <v>0</v>
      </c>
    </row>
    <row r="169" spans="1:11" ht="13.8" hidden="1" thickBot="1">
      <c r="A169" s="136"/>
      <c r="B169" s="137"/>
      <c r="C169" s="137"/>
      <c r="D169" s="137"/>
      <c r="E169" s="137"/>
      <c r="F169" s="137"/>
      <c r="G169" s="137"/>
      <c r="H169" s="137"/>
      <c r="I169" s="137"/>
      <c r="J169" s="137"/>
      <c r="K169" s="138"/>
    </row>
    <row r="170" spans="1:11" ht="14.4" hidden="1" thickBot="1">
      <c r="A170" s="225" t="s">
        <v>83</v>
      </c>
      <c r="B170" s="1279" t="s">
        <v>89</v>
      </c>
      <c r="C170" s="1280"/>
      <c r="D170" s="224" t="s">
        <v>43</v>
      </c>
      <c r="E170" s="223" t="s">
        <v>44</v>
      </c>
      <c r="F170" s="223" t="s">
        <v>82</v>
      </c>
      <c r="G170" s="223" t="s">
        <v>3</v>
      </c>
      <c r="H170" s="222" t="s">
        <v>4</v>
      </c>
      <c r="I170" s="222" t="s">
        <v>80</v>
      </c>
      <c r="J170" s="221" t="s">
        <v>84</v>
      </c>
      <c r="K170" s="220" t="s">
        <v>17</v>
      </c>
    </row>
    <row r="171" spans="1:11" ht="13.8" hidden="1">
      <c r="A171" s="82">
        <v>620</v>
      </c>
      <c r="B171" s="1313" t="s">
        <v>85</v>
      </c>
      <c r="C171" s="1314"/>
      <c r="D171" s="53">
        <v>2800</v>
      </c>
      <c r="E171" s="54" t="s">
        <v>45</v>
      </c>
      <c r="F171" s="219">
        <f t="shared" ref="F171:F180" si="22">IF(E171="5jours/sem", D171*3/13/5,IF(E171="6jours/sem",D171*3/13/6,""))</f>
        <v>129.23076923076923</v>
      </c>
      <c r="G171" s="55" t="s">
        <v>29</v>
      </c>
      <c r="H171" s="56"/>
      <c r="I171" s="77">
        <f t="shared" ref="I171:I180" si="23">IF(E171="",0,IF(G171="",0,IF(E171="5jours/sem",IF(G171="Jour",H171*D171*3/13/5,IF(G171="Semaine",H171*D171*3/13,IF(G171="Mois",H171*D171,0))),IF(E171="6jours/sem",IF(G171="Jour",H171*D171*3/13/6,IF(G171="Semaine",H171*D171*3/13,IF(G171="Mois",H171*D171,0)))))))</f>
        <v>0</v>
      </c>
      <c r="J171" s="218">
        <v>0</v>
      </c>
      <c r="K171" s="79">
        <f t="shared" ref="K171:K180" si="24">I171*K$1+J171*H171</f>
        <v>0</v>
      </c>
    </row>
    <row r="172" spans="1:11" ht="13.8" hidden="1">
      <c r="A172" s="82">
        <v>620</v>
      </c>
      <c r="B172" s="1272" t="s">
        <v>85</v>
      </c>
      <c r="C172" s="1273"/>
      <c r="D172" s="53">
        <v>2800</v>
      </c>
      <c r="E172" s="54" t="s">
        <v>45</v>
      </c>
      <c r="F172" s="86">
        <f t="shared" si="22"/>
        <v>129.23076923076923</v>
      </c>
      <c r="G172" s="55" t="s">
        <v>29</v>
      </c>
      <c r="H172" s="56"/>
      <c r="I172" s="77">
        <f t="shared" si="23"/>
        <v>0</v>
      </c>
      <c r="J172" s="83">
        <v>0</v>
      </c>
      <c r="K172" s="79">
        <f t="shared" si="24"/>
        <v>0</v>
      </c>
    </row>
    <row r="173" spans="1:11" ht="13.8" hidden="1">
      <c r="A173" s="82">
        <v>620</v>
      </c>
      <c r="B173" s="1272" t="s">
        <v>85</v>
      </c>
      <c r="C173" s="1273"/>
      <c r="D173" s="53">
        <v>2800</v>
      </c>
      <c r="E173" s="54" t="s">
        <v>45</v>
      </c>
      <c r="F173" s="86">
        <f t="shared" si="22"/>
        <v>129.23076923076923</v>
      </c>
      <c r="G173" s="55" t="s">
        <v>29</v>
      </c>
      <c r="H173" s="56"/>
      <c r="I173" s="77">
        <f t="shared" si="23"/>
        <v>0</v>
      </c>
      <c r="J173" s="83">
        <v>0</v>
      </c>
      <c r="K173" s="79">
        <f t="shared" si="24"/>
        <v>0</v>
      </c>
    </row>
    <row r="174" spans="1:11" ht="13.8" hidden="1">
      <c r="A174" s="82">
        <v>620</v>
      </c>
      <c r="B174" s="1272" t="s">
        <v>85</v>
      </c>
      <c r="C174" s="1273"/>
      <c r="D174" s="53">
        <v>2800</v>
      </c>
      <c r="E174" s="54" t="s">
        <v>45</v>
      </c>
      <c r="F174" s="86">
        <f t="shared" si="22"/>
        <v>129.23076923076923</v>
      </c>
      <c r="G174" s="55" t="s">
        <v>29</v>
      </c>
      <c r="H174" s="56"/>
      <c r="I174" s="77">
        <f t="shared" si="23"/>
        <v>0</v>
      </c>
      <c r="J174" s="83">
        <v>0</v>
      </c>
      <c r="K174" s="79">
        <f t="shared" si="24"/>
        <v>0</v>
      </c>
    </row>
    <row r="175" spans="1:11" ht="13.8" hidden="1">
      <c r="A175" s="82">
        <v>620</v>
      </c>
      <c r="B175" s="1272" t="s">
        <v>85</v>
      </c>
      <c r="C175" s="1273"/>
      <c r="D175" s="53">
        <v>2800</v>
      </c>
      <c r="E175" s="54" t="s">
        <v>45</v>
      </c>
      <c r="F175" s="86">
        <f t="shared" si="22"/>
        <v>129.23076923076923</v>
      </c>
      <c r="G175" s="55" t="s">
        <v>29</v>
      </c>
      <c r="H175" s="56"/>
      <c r="I175" s="77">
        <f t="shared" si="23"/>
        <v>0</v>
      </c>
      <c r="J175" s="83">
        <v>0</v>
      </c>
      <c r="K175" s="79">
        <f t="shared" si="24"/>
        <v>0</v>
      </c>
    </row>
    <row r="176" spans="1:11" ht="13.8" hidden="1">
      <c r="A176" s="82">
        <v>620</v>
      </c>
      <c r="B176" s="1272" t="s">
        <v>85</v>
      </c>
      <c r="C176" s="1273"/>
      <c r="D176" s="53">
        <v>2800</v>
      </c>
      <c r="E176" s="54" t="s">
        <v>45</v>
      </c>
      <c r="F176" s="86">
        <f t="shared" si="22"/>
        <v>129.23076923076923</v>
      </c>
      <c r="G176" s="55" t="s">
        <v>29</v>
      </c>
      <c r="H176" s="56"/>
      <c r="I176" s="77">
        <f t="shared" si="23"/>
        <v>0</v>
      </c>
      <c r="J176" s="83">
        <v>0</v>
      </c>
      <c r="K176" s="79">
        <f t="shared" si="24"/>
        <v>0</v>
      </c>
    </row>
    <row r="177" spans="1:11" ht="13.8" hidden="1">
      <c r="A177" s="82">
        <v>620</v>
      </c>
      <c r="B177" s="1272" t="s">
        <v>85</v>
      </c>
      <c r="C177" s="1273"/>
      <c r="D177" s="53">
        <v>2800</v>
      </c>
      <c r="E177" s="54" t="s">
        <v>45</v>
      </c>
      <c r="F177" s="86">
        <f t="shared" si="22"/>
        <v>129.23076923076923</v>
      </c>
      <c r="G177" s="55" t="s">
        <v>29</v>
      </c>
      <c r="H177" s="56"/>
      <c r="I177" s="77">
        <f t="shared" si="23"/>
        <v>0</v>
      </c>
      <c r="J177" s="83">
        <v>0</v>
      </c>
      <c r="K177" s="79">
        <f t="shared" si="24"/>
        <v>0</v>
      </c>
    </row>
    <row r="178" spans="1:11" ht="13.8" hidden="1">
      <c r="A178" s="82">
        <v>620</v>
      </c>
      <c r="B178" s="1272" t="s">
        <v>85</v>
      </c>
      <c r="C178" s="1273"/>
      <c r="D178" s="53">
        <v>2800</v>
      </c>
      <c r="E178" s="54" t="s">
        <v>45</v>
      </c>
      <c r="F178" s="86">
        <f t="shared" si="22"/>
        <v>129.23076923076923</v>
      </c>
      <c r="G178" s="55" t="s">
        <v>29</v>
      </c>
      <c r="H178" s="56"/>
      <c r="I178" s="77">
        <f t="shared" si="23"/>
        <v>0</v>
      </c>
      <c r="J178" s="83">
        <v>0</v>
      </c>
      <c r="K178" s="79">
        <f t="shared" si="24"/>
        <v>0</v>
      </c>
    </row>
    <row r="179" spans="1:11" ht="13.8" hidden="1">
      <c r="A179" s="82">
        <v>620</v>
      </c>
      <c r="B179" s="1272" t="s">
        <v>85</v>
      </c>
      <c r="C179" s="1273"/>
      <c r="D179" s="53">
        <v>2800</v>
      </c>
      <c r="E179" s="54" t="s">
        <v>45</v>
      </c>
      <c r="F179" s="86">
        <f t="shared" si="22"/>
        <v>129.23076923076923</v>
      </c>
      <c r="G179" s="55" t="s">
        <v>29</v>
      </c>
      <c r="H179" s="56"/>
      <c r="I179" s="77">
        <f t="shared" si="23"/>
        <v>0</v>
      </c>
      <c r="J179" s="83">
        <v>0</v>
      </c>
      <c r="K179" s="79">
        <f t="shared" si="24"/>
        <v>0</v>
      </c>
    </row>
    <row r="180" spans="1:11" ht="14.4" hidden="1" thickBot="1">
      <c r="A180" s="84">
        <v>620</v>
      </c>
      <c r="B180" s="1308" t="s">
        <v>85</v>
      </c>
      <c r="C180" s="1309"/>
      <c r="D180" s="61">
        <v>2800</v>
      </c>
      <c r="E180" s="62" t="s">
        <v>45</v>
      </c>
      <c r="F180" s="87">
        <f t="shared" si="22"/>
        <v>129.23076923076923</v>
      </c>
      <c r="G180" s="63" t="s">
        <v>29</v>
      </c>
      <c r="H180" s="64"/>
      <c r="I180" s="78">
        <f t="shared" si="23"/>
        <v>0</v>
      </c>
      <c r="J180" s="85">
        <v>0</v>
      </c>
      <c r="K180" s="79">
        <f t="shared" si="24"/>
        <v>0</v>
      </c>
    </row>
    <row r="181" spans="1:11" ht="16.2" hidden="1" thickBot="1">
      <c r="A181" s="139"/>
      <c r="B181" s="111"/>
      <c r="C181" s="66"/>
      <c r="D181" s="1331"/>
      <c r="E181" s="1331"/>
      <c r="F181" s="66"/>
      <c r="G181" s="67"/>
      <c r="H181" s="68"/>
      <c r="I181" s="1300" t="s">
        <v>94</v>
      </c>
      <c r="J181" s="1301"/>
      <c r="K181" s="122">
        <f>SUM(K171:K180)</f>
        <v>0</v>
      </c>
    </row>
    <row r="182" spans="1:11" ht="13.8" hidden="1" thickBot="1">
      <c r="A182" s="136"/>
      <c r="B182" s="137"/>
      <c r="C182" s="137"/>
      <c r="D182" s="137"/>
      <c r="E182" s="137"/>
      <c r="F182" s="137"/>
      <c r="G182" s="137"/>
      <c r="H182" s="137"/>
      <c r="I182" s="137"/>
      <c r="J182" s="137"/>
      <c r="K182" s="138"/>
    </row>
    <row r="183" spans="1:11" ht="14.4" hidden="1" thickBot="1">
      <c r="A183" s="126" t="s">
        <v>51</v>
      </c>
      <c r="B183" s="1234" t="s">
        <v>88</v>
      </c>
      <c r="C183" s="1235"/>
      <c r="D183" s="1236"/>
      <c r="E183" s="99" t="s">
        <v>6</v>
      </c>
      <c r="F183" s="127" t="s">
        <v>7</v>
      </c>
      <c r="G183" s="127" t="s">
        <v>6</v>
      </c>
      <c r="H183" s="128" t="s">
        <v>7</v>
      </c>
      <c r="I183" s="127" t="s">
        <v>33</v>
      </c>
      <c r="J183" s="129" t="s">
        <v>92</v>
      </c>
      <c r="K183" s="138"/>
    </row>
    <row r="184" spans="1:11" ht="13.8" hidden="1">
      <c r="A184" s="101">
        <v>610</v>
      </c>
      <c r="B184" s="1379" t="s">
        <v>53</v>
      </c>
      <c r="C184" s="1380"/>
      <c r="D184" s="1381"/>
      <c r="E184" s="123"/>
      <c r="F184" s="124">
        <v>1</v>
      </c>
      <c r="G184" s="123"/>
      <c r="H184" s="133">
        <v>1</v>
      </c>
      <c r="I184" s="125"/>
      <c r="J184" s="130">
        <f t="shared" ref="J184:J190" si="25">F184*H184*I184</f>
        <v>0</v>
      </c>
      <c r="K184" s="138"/>
    </row>
    <row r="185" spans="1:11" ht="13.8" hidden="1">
      <c r="A185" s="101">
        <v>611</v>
      </c>
      <c r="B185" s="1246" t="s">
        <v>11</v>
      </c>
      <c r="C185" s="1247"/>
      <c r="D185" s="1248"/>
      <c r="E185" s="123"/>
      <c r="F185" s="124">
        <v>1</v>
      </c>
      <c r="G185" s="123"/>
      <c r="H185" s="133">
        <v>1</v>
      </c>
      <c r="I185" s="125"/>
      <c r="J185" s="130">
        <f t="shared" si="25"/>
        <v>0</v>
      </c>
      <c r="K185" s="138"/>
    </row>
    <row r="186" spans="1:11" ht="13.8" hidden="1">
      <c r="A186" s="102">
        <v>611</v>
      </c>
      <c r="B186" s="1246" t="s">
        <v>12</v>
      </c>
      <c r="C186" s="1247"/>
      <c r="D186" s="1248"/>
      <c r="E186" s="103"/>
      <c r="F186" s="124">
        <v>1</v>
      </c>
      <c r="G186" s="103"/>
      <c r="H186" s="134">
        <v>1</v>
      </c>
      <c r="I186" s="104"/>
      <c r="J186" s="131">
        <f t="shared" si="25"/>
        <v>0</v>
      </c>
      <c r="K186" s="138"/>
    </row>
    <row r="187" spans="1:11" ht="13.8" hidden="1">
      <c r="A187" s="102">
        <v>613</v>
      </c>
      <c r="B187" s="1291" t="s">
        <v>14</v>
      </c>
      <c r="C187" s="1292"/>
      <c r="D187" s="1293"/>
      <c r="E187" s="103"/>
      <c r="F187" s="124">
        <v>1</v>
      </c>
      <c r="G187" s="103"/>
      <c r="H187" s="134">
        <v>1</v>
      </c>
      <c r="I187" s="106"/>
      <c r="J187" s="131">
        <f t="shared" si="25"/>
        <v>0</v>
      </c>
      <c r="K187" s="138"/>
    </row>
    <row r="188" spans="1:11" ht="13.8" hidden="1">
      <c r="A188" s="102">
        <v>613</v>
      </c>
      <c r="B188" s="1291" t="s">
        <v>13</v>
      </c>
      <c r="C188" s="1292"/>
      <c r="D188" s="1293"/>
      <c r="E188" s="103"/>
      <c r="F188" s="124">
        <v>1</v>
      </c>
      <c r="G188" s="103"/>
      <c r="H188" s="134">
        <v>1</v>
      </c>
      <c r="I188" s="106"/>
      <c r="J188" s="131">
        <f t="shared" si="25"/>
        <v>0</v>
      </c>
      <c r="K188" s="138"/>
    </row>
    <row r="189" spans="1:11" ht="13.8" hidden="1">
      <c r="A189" s="102">
        <v>613</v>
      </c>
      <c r="B189" s="1246" t="s">
        <v>15</v>
      </c>
      <c r="C189" s="1247"/>
      <c r="D189" s="1248"/>
      <c r="E189" s="103"/>
      <c r="F189" s="124">
        <v>1</v>
      </c>
      <c r="G189" s="103"/>
      <c r="H189" s="134">
        <v>1</v>
      </c>
      <c r="I189" s="104"/>
      <c r="J189" s="131">
        <f t="shared" si="25"/>
        <v>0</v>
      </c>
      <c r="K189" s="138"/>
    </row>
    <row r="190" spans="1:11" ht="14.4" hidden="1" thickBot="1">
      <c r="A190" s="107"/>
      <c r="B190" s="1318"/>
      <c r="C190" s="1319"/>
      <c r="D190" s="1320"/>
      <c r="E190" s="108"/>
      <c r="F190" s="124">
        <v>1</v>
      </c>
      <c r="G190" s="109"/>
      <c r="H190" s="135">
        <v>1</v>
      </c>
      <c r="I190" s="110"/>
      <c r="J190" s="132">
        <f t="shared" si="25"/>
        <v>0</v>
      </c>
      <c r="K190" s="138"/>
    </row>
    <row r="191" spans="1:11" ht="14.4" hidden="1" thickBot="1">
      <c r="A191" s="112"/>
      <c r="B191" s="142"/>
      <c r="C191" s="142"/>
      <c r="D191" s="142"/>
      <c r="E191" s="143"/>
      <c r="F191" s="144"/>
      <c r="G191" s="142"/>
      <c r="H191" s="145"/>
      <c r="I191" s="146" t="s">
        <v>95</v>
      </c>
      <c r="J191" s="147">
        <f>SUM(J184:J190)</f>
        <v>0</v>
      </c>
      <c r="K191" s="140"/>
    </row>
    <row r="192" spans="1:11" ht="13.8" thickBot="1"/>
    <row r="193" spans="1:11" ht="16.2" thickBot="1">
      <c r="A193" s="1334" t="s">
        <v>111</v>
      </c>
      <c r="B193" s="1335"/>
      <c r="C193" s="1335"/>
      <c r="D193" s="1335"/>
      <c r="E193" s="1335"/>
      <c r="F193" s="1335"/>
      <c r="G193" s="1335"/>
      <c r="H193" s="1335"/>
      <c r="I193" s="1335"/>
      <c r="J193" s="1335"/>
      <c r="K193" s="1336"/>
    </row>
    <row r="194" spans="1:11" ht="13.8">
      <c r="A194" s="1355" t="s">
        <v>98</v>
      </c>
      <c r="B194" s="1356"/>
      <c r="C194" s="1356"/>
      <c r="D194" s="1356"/>
      <c r="E194" s="191"/>
      <c r="F194" s="191"/>
      <c r="G194" s="191"/>
      <c r="H194" s="191"/>
      <c r="I194" s="191"/>
      <c r="J194" s="191"/>
      <c r="K194" s="192">
        <f>K41</f>
        <v>25132.307692307695</v>
      </c>
    </row>
    <row r="195" spans="1:11" ht="13.8">
      <c r="A195" s="1332" t="s">
        <v>5</v>
      </c>
      <c r="B195" s="1333"/>
      <c r="C195" s="1333"/>
      <c r="D195" s="1333"/>
      <c r="E195" s="173"/>
      <c r="F195" s="173"/>
      <c r="G195" s="173"/>
      <c r="H195" s="173"/>
      <c r="I195" s="173"/>
      <c r="J195" s="175">
        <f>J66</f>
        <v>33000</v>
      </c>
      <c r="K195" s="174"/>
    </row>
    <row r="196" spans="1:11" ht="14.4" thickBot="1">
      <c r="A196" s="1332" t="s">
        <v>99</v>
      </c>
      <c r="B196" s="1333"/>
      <c r="C196" s="1333"/>
      <c r="D196" s="1333"/>
      <c r="E196" s="173"/>
      <c r="F196" s="173"/>
      <c r="G196" s="173"/>
      <c r="H196" s="173"/>
      <c r="I196" s="173"/>
      <c r="J196" s="173"/>
      <c r="K196" s="174">
        <f>K81</f>
        <v>51923.076923076937</v>
      </c>
    </row>
    <row r="197" spans="1:11" ht="13.8" hidden="1">
      <c r="A197" s="1332" t="s">
        <v>100</v>
      </c>
      <c r="B197" s="1333"/>
      <c r="C197" s="1333"/>
      <c r="D197" s="1333"/>
      <c r="E197" s="173"/>
      <c r="F197" s="173"/>
      <c r="G197" s="173"/>
      <c r="H197" s="173"/>
      <c r="I197" s="173"/>
      <c r="J197" s="175">
        <f>J91</f>
        <v>0</v>
      </c>
      <c r="K197" s="174"/>
    </row>
    <row r="198" spans="1:11" ht="13.8" hidden="1">
      <c r="A198" s="1332" t="s">
        <v>101</v>
      </c>
      <c r="B198" s="1333"/>
      <c r="C198" s="1333"/>
      <c r="D198" s="1333"/>
      <c r="E198" s="173"/>
      <c r="F198" s="173"/>
      <c r="G198" s="173"/>
      <c r="H198" s="173"/>
      <c r="I198" s="173"/>
      <c r="J198" s="173"/>
      <c r="K198" s="174">
        <f>K106</f>
        <v>0</v>
      </c>
    </row>
    <row r="199" spans="1:11" ht="13.8" hidden="1">
      <c r="A199" s="1332" t="s">
        <v>102</v>
      </c>
      <c r="B199" s="1333"/>
      <c r="C199" s="1333"/>
      <c r="D199" s="1333"/>
      <c r="E199" s="173"/>
      <c r="F199" s="173"/>
      <c r="G199" s="173"/>
      <c r="H199" s="173"/>
      <c r="I199" s="173"/>
      <c r="J199" s="175">
        <f>J116</f>
        <v>0</v>
      </c>
      <c r="K199" s="174"/>
    </row>
    <row r="200" spans="1:11" ht="13.8" hidden="1">
      <c r="A200" s="1332" t="s">
        <v>103</v>
      </c>
      <c r="B200" s="1333"/>
      <c r="C200" s="1333"/>
      <c r="D200" s="1333"/>
      <c r="E200" s="173"/>
      <c r="F200" s="173"/>
      <c r="G200" s="173"/>
      <c r="H200" s="173"/>
      <c r="I200" s="173"/>
      <c r="J200" s="175"/>
      <c r="K200" s="174">
        <f>K131</f>
        <v>0</v>
      </c>
    </row>
    <row r="201" spans="1:11" ht="13.8" hidden="1">
      <c r="A201" s="1332" t="s">
        <v>104</v>
      </c>
      <c r="B201" s="1333"/>
      <c r="C201" s="1333"/>
      <c r="D201" s="1333"/>
      <c r="E201" s="173"/>
      <c r="F201" s="173"/>
      <c r="G201" s="173"/>
      <c r="H201" s="173"/>
      <c r="I201" s="173"/>
      <c r="J201" s="175">
        <f>J141</f>
        <v>0</v>
      </c>
      <c r="K201" s="174"/>
    </row>
    <row r="202" spans="1:11" ht="13.8" hidden="1">
      <c r="A202" s="1332" t="s">
        <v>105</v>
      </c>
      <c r="B202" s="1333"/>
      <c r="C202" s="1333"/>
      <c r="D202" s="1333"/>
      <c r="E202" s="173"/>
      <c r="F202" s="173"/>
      <c r="G202" s="173"/>
      <c r="H202" s="173"/>
      <c r="I202" s="173"/>
      <c r="J202" s="175"/>
      <c r="K202" s="174">
        <f>K156</f>
        <v>0</v>
      </c>
    </row>
    <row r="203" spans="1:11" ht="13.8" hidden="1">
      <c r="A203" s="1332" t="s">
        <v>106</v>
      </c>
      <c r="B203" s="1333"/>
      <c r="C203" s="1333"/>
      <c r="D203" s="1333"/>
      <c r="E203" s="173"/>
      <c r="F203" s="173"/>
      <c r="G203" s="173"/>
      <c r="H203" s="173"/>
      <c r="I203" s="173"/>
      <c r="J203" s="175">
        <f>J166</f>
        <v>0</v>
      </c>
      <c r="K203" s="174"/>
    </row>
    <row r="204" spans="1:11" ht="13.8" hidden="1">
      <c r="A204" s="1332" t="s">
        <v>107</v>
      </c>
      <c r="B204" s="1333"/>
      <c r="C204" s="1333"/>
      <c r="D204" s="1333"/>
      <c r="E204" s="173"/>
      <c r="F204" s="173"/>
      <c r="G204" s="173"/>
      <c r="H204" s="173"/>
      <c r="I204" s="173"/>
      <c r="J204" s="173"/>
      <c r="K204" s="174">
        <f>K181</f>
        <v>0</v>
      </c>
    </row>
    <row r="205" spans="1:11" ht="14.4" hidden="1" thickBot="1">
      <c r="A205" s="1353" t="s">
        <v>108</v>
      </c>
      <c r="B205" s="1354"/>
      <c r="C205" s="1354"/>
      <c r="D205" s="1354"/>
      <c r="E205" s="113"/>
      <c r="F205" s="113"/>
      <c r="G205" s="113"/>
      <c r="H205" s="113"/>
      <c r="I205" s="113"/>
      <c r="J205" s="182">
        <f>J191</f>
        <v>0</v>
      </c>
      <c r="K205" s="114"/>
    </row>
    <row r="206" spans="1:11" s="181" customFormat="1" ht="13.8">
      <c r="A206" s="187"/>
      <c r="B206" s="188"/>
      <c r="C206" s="188"/>
      <c r="D206" s="188"/>
      <c r="E206" s="1359" t="s">
        <v>109</v>
      </c>
      <c r="F206" s="1360"/>
      <c r="G206" s="1360"/>
      <c r="H206" s="217"/>
      <c r="I206" s="217"/>
      <c r="J206" s="183"/>
      <c r="K206" s="184">
        <f>SUM(K194:K205)</f>
        <v>77055.384615384624</v>
      </c>
    </row>
    <row r="207" spans="1:11" s="181" customFormat="1" ht="14.4" thickBot="1">
      <c r="A207" s="189"/>
      <c r="B207" s="190"/>
      <c r="C207" s="190"/>
      <c r="D207" s="190"/>
      <c r="E207" s="1361" t="s">
        <v>110</v>
      </c>
      <c r="F207" s="1362"/>
      <c r="G207" s="1362"/>
      <c r="H207" s="193"/>
      <c r="I207" s="193"/>
      <c r="J207" s="185">
        <f>SUM(J194:J206)</f>
        <v>33000</v>
      </c>
      <c r="K207" s="186"/>
    </row>
    <row r="208" spans="1:11" ht="16.2" thickBot="1">
      <c r="A208" s="177"/>
      <c r="B208" s="176"/>
      <c r="C208" s="176"/>
      <c r="D208" s="178"/>
      <c r="E208" s="178"/>
      <c r="F208" s="178"/>
      <c r="G208" s="172"/>
      <c r="H208" s="179"/>
      <c r="I208" s="180" t="s">
        <v>112</v>
      </c>
      <c r="J208" s="1357">
        <f>K206+J207</f>
        <v>110055.38461538462</v>
      </c>
      <c r="K208" s="1358"/>
    </row>
    <row r="209" spans="1:16" ht="32.4" hidden="1" customHeight="1" thickBot="1">
      <c r="N209" s="213"/>
    </row>
    <row r="210" spans="1:16" ht="18" hidden="1" thickBot="1">
      <c r="A210" s="1349" t="s">
        <v>137</v>
      </c>
      <c r="B210" s="1350"/>
      <c r="C210" s="1350"/>
      <c r="D210" s="1350"/>
      <c r="E210" s="1350"/>
      <c r="F210" s="1350"/>
      <c r="G210" s="1350"/>
      <c r="H210" s="1350"/>
      <c r="I210" s="1350"/>
      <c r="J210" s="1350"/>
      <c r="K210" s="1351"/>
      <c r="N210" s="213"/>
    </row>
    <row r="211" spans="1:16" ht="14.4" hidden="1" thickBot="1">
      <c r="A211" s="241"/>
      <c r="B211" s="242"/>
      <c r="C211" s="243"/>
      <c r="D211" s="244"/>
      <c r="E211" s="245"/>
      <c r="F211" s="245"/>
      <c r="G211" s="246"/>
      <c r="H211" s="242"/>
      <c r="I211" s="247"/>
      <c r="N211" s="213"/>
    </row>
    <row r="212" spans="1:16" ht="14.4" hidden="1" thickBot="1">
      <c r="A212" s="319" t="s">
        <v>51</v>
      </c>
      <c r="B212" s="1343" t="s">
        <v>138</v>
      </c>
      <c r="C212" s="1344"/>
      <c r="D212" s="1344"/>
      <c r="E212" s="1344"/>
      <c r="F212" s="1344"/>
      <c r="G212" s="1344"/>
      <c r="H212" s="1344"/>
      <c r="I212" s="1344"/>
      <c r="J212" s="1344"/>
      <c r="K212" s="1345"/>
      <c r="P212" s="213"/>
    </row>
    <row r="213" spans="1:16" ht="13.8" hidden="1">
      <c r="A213" s="250">
        <v>701</v>
      </c>
      <c r="B213" s="1346" t="s">
        <v>139</v>
      </c>
      <c r="C213" s="1347"/>
      <c r="D213" s="1347"/>
      <c r="E213" s="1347"/>
      <c r="F213" s="1347"/>
      <c r="G213" s="1347"/>
      <c r="H213" s="1347"/>
      <c r="I213" s="1347"/>
      <c r="J213" s="1352"/>
      <c r="K213" s="251"/>
      <c r="P213" s="213"/>
    </row>
    <row r="214" spans="1:16" ht="13.8" hidden="1">
      <c r="A214" s="252"/>
      <c r="B214" s="1337" t="s">
        <v>140</v>
      </c>
      <c r="C214" s="1338"/>
      <c r="D214" s="1338"/>
      <c r="E214" s="1338"/>
      <c r="F214" s="1338"/>
      <c r="G214" s="1338"/>
      <c r="H214" s="1338"/>
      <c r="I214" s="1338"/>
      <c r="J214" s="1339"/>
      <c r="K214" s="253"/>
      <c r="P214" s="213"/>
    </row>
    <row r="215" spans="1:16" ht="13.8" hidden="1">
      <c r="A215" s="252"/>
      <c r="B215" s="1337" t="s">
        <v>141</v>
      </c>
      <c r="C215" s="1338"/>
      <c r="D215" s="1338"/>
      <c r="E215" s="1338"/>
      <c r="F215" s="1338"/>
      <c r="G215" s="1338"/>
      <c r="H215" s="1338"/>
      <c r="I215" s="1338"/>
      <c r="J215" s="1339"/>
      <c r="K215" s="253"/>
      <c r="P215" s="213"/>
    </row>
    <row r="216" spans="1:16" ht="14.4" hidden="1" thickBot="1">
      <c r="A216" s="254"/>
      <c r="B216" s="1340"/>
      <c r="C216" s="1341"/>
      <c r="D216" s="1341"/>
      <c r="E216" s="1341"/>
      <c r="F216" s="1341"/>
      <c r="G216" s="1341"/>
      <c r="H216" s="1341"/>
      <c r="I216" s="1341"/>
      <c r="J216" s="1342"/>
      <c r="K216" s="255"/>
      <c r="P216" s="213"/>
    </row>
    <row r="217" spans="1:16" ht="17.399999999999999" hidden="1" thickBot="1">
      <c r="A217" s="241"/>
      <c r="B217" s="302"/>
      <c r="C217" s="302"/>
      <c r="D217" s="302"/>
      <c r="E217" s="302"/>
      <c r="F217" s="302"/>
      <c r="G217" s="256"/>
      <c r="H217" s="257"/>
      <c r="I217" s="258"/>
      <c r="J217" s="259" t="s">
        <v>142</v>
      </c>
      <c r="K217" s="260">
        <f>SUM(K213:K216)</f>
        <v>0</v>
      </c>
      <c r="P217" s="213"/>
    </row>
    <row r="218" spans="1:16" ht="14.4" hidden="1" thickBot="1">
      <c r="A218" s="241"/>
      <c r="B218" s="248"/>
      <c r="C218" s="261"/>
      <c r="D218" s="262"/>
      <c r="E218" s="249"/>
      <c r="F218" s="249"/>
      <c r="G218" s="263"/>
      <c r="H218" s="264"/>
      <c r="I218" s="265"/>
      <c r="N218" s="213"/>
    </row>
    <row r="219" spans="1:16" ht="14.4" hidden="1" thickBot="1">
      <c r="A219" s="319" t="s">
        <v>51</v>
      </c>
      <c r="B219" s="1343" t="s">
        <v>143</v>
      </c>
      <c r="C219" s="1344"/>
      <c r="D219" s="1344"/>
      <c r="E219" s="1344"/>
      <c r="F219" s="1344"/>
      <c r="G219" s="1344"/>
      <c r="H219" s="1344"/>
      <c r="I219" s="1344"/>
      <c r="J219" s="1344"/>
      <c r="K219" s="1345"/>
      <c r="P219" s="213"/>
    </row>
    <row r="220" spans="1:16" ht="13.8" hidden="1">
      <c r="A220" s="250">
        <v>703</v>
      </c>
      <c r="B220" s="1346" t="s">
        <v>144</v>
      </c>
      <c r="C220" s="1347"/>
      <c r="D220" s="1347"/>
      <c r="E220" s="1347"/>
      <c r="F220" s="1347"/>
      <c r="G220" s="1347"/>
      <c r="H220" s="1347"/>
      <c r="I220" s="1347"/>
      <c r="J220" s="1347"/>
      <c r="K220" s="303"/>
      <c r="P220" s="213"/>
    </row>
    <row r="221" spans="1:16" ht="13.8" hidden="1">
      <c r="A221" s="252"/>
      <c r="B221" s="1337" t="s">
        <v>145</v>
      </c>
      <c r="C221" s="1338"/>
      <c r="D221" s="1338"/>
      <c r="E221" s="1338"/>
      <c r="F221" s="1338"/>
      <c r="G221" s="1338"/>
      <c r="H221" s="1338"/>
      <c r="I221" s="1338"/>
      <c r="J221" s="1338"/>
      <c r="K221" s="304"/>
      <c r="P221" s="213"/>
    </row>
    <row r="222" spans="1:16" ht="13.8" hidden="1">
      <c r="A222" s="252"/>
      <c r="B222" s="1337" t="s">
        <v>146</v>
      </c>
      <c r="C222" s="1338"/>
      <c r="D222" s="1338"/>
      <c r="E222" s="1338"/>
      <c r="F222" s="1338"/>
      <c r="G222" s="1338"/>
      <c r="H222" s="1338"/>
      <c r="I222" s="1338"/>
      <c r="J222" s="1338"/>
      <c r="K222" s="304"/>
      <c r="P222" s="213"/>
    </row>
    <row r="223" spans="1:16" ht="13.8" hidden="1">
      <c r="A223" s="252"/>
      <c r="B223" s="1337" t="s">
        <v>147</v>
      </c>
      <c r="C223" s="1338"/>
      <c r="D223" s="1338"/>
      <c r="E223" s="1338"/>
      <c r="F223" s="1338"/>
      <c r="G223" s="1338"/>
      <c r="H223" s="1338"/>
      <c r="I223" s="1338"/>
      <c r="J223" s="1338"/>
      <c r="K223" s="304"/>
      <c r="P223" s="213"/>
    </row>
    <row r="224" spans="1:16" ht="13.8" hidden="1">
      <c r="A224" s="252"/>
      <c r="B224" s="1374" t="s">
        <v>148</v>
      </c>
      <c r="C224" s="1375"/>
      <c r="D224" s="1375"/>
      <c r="E224" s="1375"/>
      <c r="F224" s="1375"/>
      <c r="G224" s="1375"/>
      <c r="H224" s="1375"/>
      <c r="I224" s="1375"/>
      <c r="J224" s="1375"/>
      <c r="K224" s="304"/>
      <c r="P224" s="213"/>
    </row>
    <row r="225" spans="1:16" ht="14.4" hidden="1" thickBot="1">
      <c r="A225" s="254"/>
      <c r="B225" s="1376"/>
      <c r="C225" s="1377"/>
      <c r="D225" s="1377"/>
      <c r="E225" s="1377"/>
      <c r="F225" s="1377"/>
      <c r="G225" s="1377"/>
      <c r="H225" s="1377"/>
      <c r="I225" s="1377"/>
      <c r="J225" s="1377"/>
      <c r="K225" s="305"/>
      <c r="P225" s="213"/>
    </row>
    <row r="226" spans="1:16" ht="17.399999999999999" hidden="1" thickBot="1">
      <c r="A226" s="241"/>
      <c r="B226" s="266"/>
      <c r="C226" s="267"/>
      <c r="D226" s="267"/>
      <c r="E226" s="267"/>
      <c r="F226" s="268"/>
      <c r="G226" s="256"/>
      <c r="H226" s="269"/>
      <c r="I226" s="270"/>
      <c r="J226" s="271" t="s">
        <v>149</v>
      </c>
      <c r="K226" s="272">
        <f>SUM(K220:K225)</f>
        <v>0</v>
      </c>
      <c r="P226" s="213"/>
    </row>
    <row r="227" spans="1:16" ht="17.399999999999999" hidden="1" thickBot="1">
      <c r="A227" s="241"/>
      <c r="B227" s="273"/>
      <c r="C227" s="274"/>
      <c r="D227" s="275"/>
      <c r="E227" s="276"/>
      <c r="F227" s="273"/>
      <c r="G227" s="277"/>
      <c r="H227" s="278"/>
      <c r="I227" s="279"/>
      <c r="N227" s="213"/>
    </row>
    <row r="228" spans="1:16" ht="14.4" hidden="1" thickBot="1">
      <c r="A228" s="319" t="s">
        <v>51</v>
      </c>
      <c r="B228" s="1343" t="s">
        <v>150</v>
      </c>
      <c r="C228" s="1344"/>
      <c r="D228" s="1344"/>
      <c r="E228" s="1344"/>
      <c r="F228" s="1344"/>
      <c r="G228" s="1344"/>
      <c r="H228" s="1344"/>
      <c r="I228" s="1344"/>
      <c r="J228" s="1344"/>
      <c r="K228" s="1345"/>
      <c r="P228" s="213"/>
    </row>
    <row r="229" spans="1:16" ht="13.8" hidden="1">
      <c r="A229" s="250">
        <v>737</v>
      </c>
      <c r="B229" s="1346" t="s">
        <v>151</v>
      </c>
      <c r="C229" s="1347"/>
      <c r="D229" s="1347"/>
      <c r="E229" s="1347"/>
      <c r="F229" s="1347"/>
      <c r="G229" s="1347"/>
      <c r="H229" s="1347"/>
      <c r="I229" s="1347"/>
      <c r="J229" s="1378"/>
      <c r="K229" s="306"/>
      <c r="P229" s="213"/>
    </row>
    <row r="230" spans="1:16" ht="13.8" hidden="1">
      <c r="A230" s="280"/>
      <c r="B230" s="1337" t="s">
        <v>152</v>
      </c>
      <c r="C230" s="1338"/>
      <c r="D230" s="1338"/>
      <c r="E230" s="1338"/>
      <c r="F230" s="1338"/>
      <c r="G230" s="1338"/>
      <c r="H230" s="1338"/>
      <c r="I230" s="1338"/>
      <c r="J230" s="1364"/>
      <c r="K230" s="307"/>
      <c r="P230" s="213"/>
    </row>
    <row r="231" spans="1:16" ht="13.8" hidden="1">
      <c r="A231" s="280"/>
      <c r="B231" s="1337" t="s">
        <v>153</v>
      </c>
      <c r="C231" s="1338"/>
      <c r="D231" s="1338"/>
      <c r="E231" s="1338"/>
      <c r="F231" s="1338"/>
      <c r="G231" s="1338"/>
      <c r="H231" s="1338"/>
      <c r="I231" s="1338"/>
      <c r="J231" s="1364"/>
      <c r="K231" s="307"/>
      <c r="P231" s="213"/>
    </row>
    <row r="232" spans="1:16" ht="13.8" hidden="1">
      <c r="A232" s="280"/>
      <c r="B232" s="1337" t="s">
        <v>154</v>
      </c>
      <c r="C232" s="1338"/>
      <c r="D232" s="1338"/>
      <c r="E232" s="1338"/>
      <c r="F232" s="1338"/>
      <c r="G232" s="1338"/>
      <c r="H232" s="1338"/>
      <c r="I232" s="1338"/>
      <c r="J232" s="1364"/>
      <c r="K232" s="307"/>
      <c r="P232" s="213"/>
    </row>
    <row r="233" spans="1:16" ht="13.8" hidden="1">
      <c r="A233" s="252"/>
      <c r="B233" s="1337" t="s">
        <v>155</v>
      </c>
      <c r="C233" s="1338"/>
      <c r="D233" s="1338"/>
      <c r="E233" s="1338"/>
      <c r="F233" s="1338"/>
      <c r="G233" s="1338"/>
      <c r="H233" s="1338"/>
      <c r="I233" s="1338"/>
      <c r="J233" s="1364"/>
      <c r="K233" s="307"/>
      <c r="P233" s="213"/>
    </row>
    <row r="234" spans="1:16" ht="14.4" hidden="1" thickBot="1">
      <c r="A234" s="281"/>
      <c r="B234" s="1365"/>
      <c r="C234" s="1366"/>
      <c r="D234" s="1366"/>
      <c r="E234" s="1366"/>
      <c r="F234" s="1366"/>
      <c r="G234" s="1366"/>
      <c r="H234" s="1366"/>
      <c r="I234" s="1366"/>
      <c r="J234" s="1367"/>
      <c r="K234" s="308"/>
      <c r="P234" s="213"/>
    </row>
    <row r="235" spans="1:16" ht="17.399999999999999" hidden="1" thickBot="1">
      <c r="A235" s="241"/>
      <c r="B235" s="266"/>
      <c r="C235" s="267"/>
      <c r="D235" s="267"/>
      <c r="E235" s="267"/>
      <c r="F235" s="268"/>
      <c r="G235" s="256"/>
      <c r="H235" s="269"/>
      <c r="I235" s="270"/>
      <c r="J235" s="271" t="s">
        <v>149</v>
      </c>
      <c r="K235" s="272">
        <f>SUM(K229:K234)</f>
        <v>0</v>
      </c>
      <c r="P235" s="213"/>
    </row>
    <row r="236" spans="1:16" ht="17.399999999999999" hidden="1" thickBot="1">
      <c r="A236" s="241"/>
      <c r="B236" s="273"/>
      <c r="C236" s="274"/>
      <c r="D236" s="275"/>
      <c r="E236" s="276"/>
      <c r="F236" s="273"/>
      <c r="G236" s="277"/>
      <c r="H236" s="278"/>
      <c r="I236" s="279"/>
      <c r="N236" s="213"/>
    </row>
    <row r="237" spans="1:16" ht="14.4" hidden="1" thickBot="1">
      <c r="A237" s="241"/>
      <c r="B237" s="1368" t="s">
        <v>156</v>
      </c>
      <c r="C237" s="1369"/>
      <c r="D237" s="1369"/>
      <c r="E237" s="1369"/>
      <c r="F237" s="1369"/>
      <c r="G237" s="1369"/>
      <c r="H237" s="1369"/>
      <c r="I237" s="1369"/>
      <c r="J237" s="1369"/>
      <c r="K237" s="1370"/>
      <c r="P237" s="213"/>
    </row>
    <row r="238" spans="1:16" ht="14.4" hidden="1" thickBot="1">
      <c r="A238" s="241"/>
      <c r="B238" s="282" t="s">
        <v>156</v>
      </c>
      <c r="C238" s="283" t="s">
        <v>157</v>
      </c>
      <c r="D238" s="1371"/>
      <c r="E238" s="1372"/>
      <c r="F238" s="1372"/>
      <c r="G238" s="1372"/>
      <c r="H238" s="1372"/>
      <c r="I238" s="1372"/>
      <c r="J238" s="1373"/>
      <c r="K238" s="284"/>
      <c r="P238" s="213"/>
    </row>
    <row r="239" spans="1:16" ht="17.399999999999999" hidden="1" thickBot="1">
      <c r="A239" s="241"/>
      <c r="B239" s="266"/>
      <c r="C239" s="267"/>
      <c r="D239" s="267"/>
      <c r="E239" s="267"/>
      <c r="F239" s="268"/>
      <c r="G239" s="256"/>
      <c r="H239" s="257"/>
      <c r="I239" s="258"/>
      <c r="J239" s="259" t="s">
        <v>158</v>
      </c>
      <c r="K239" s="260">
        <f>K238</f>
        <v>0</v>
      </c>
      <c r="P239" s="213"/>
    </row>
    <row r="240" spans="1:16" ht="17.399999999999999" hidden="1" thickBot="1">
      <c r="A240" s="241"/>
      <c r="B240" s="242"/>
      <c r="C240" s="242"/>
      <c r="D240" s="285"/>
      <c r="E240" s="245"/>
      <c r="F240" s="286"/>
      <c r="G240" s="287"/>
      <c r="H240" s="288"/>
      <c r="I240" s="289"/>
      <c r="N240" s="213"/>
    </row>
    <row r="241" spans="1:16" ht="17.399999999999999" hidden="1" thickBot="1">
      <c r="A241" s="241"/>
      <c r="B241" s="290"/>
      <c r="C241" s="290"/>
      <c r="D241" s="291"/>
      <c r="E241" s="309"/>
      <c r="F241" s="137"/>
      <c r="H241" s="292"/>
      <c r="I241" s="293"/>
      <c r="J241" s="294" t="s">
        <v>159</v>
      </c>
      <c r="K241" s="272">
        <f>K239+K226+K217+K235</f>
        <v>0</v>
      </c>
      <c r="N241" s="213"/>
    </row>
    <row r="242" spans="1:16" ht="14.4" hidden="1" thickBot="1">
      <c r="A242" s="241"/>
      <c r="B242" s="242"/>
      <c r="C242" s="242"/>
      <c r="D242" s="295"/>
      <c r="E242" s="296"/>
      <c r="F242" s="297"/>
      <c r="G242" s="298"/>
      <c r="H242" s="297"/>
      <c r="I242" s="297"/>
      <c r="N242" s="213"/>
    </row>
    <row r="243" spans="1:16" ht="19.8" hidden="1" thickBot="1">
      <c r="A243" s="299"/>
      <c r="B243" s="299"/>
      <c r="C243" s="299"/>
      <c r="D243" s="299"/>
      <c r="E243" s="299"/>
      <c r="F243" s="300"/>
      <c r="G243" s="1363" t="s">
        <v>160</v>
      </c>
      <c r="H243" s="1363"/>
      <c r="I243" s="1363"/>
      <c r="J243" s="1363"/>
      <c r="K243" s="301">
        <f>K241-J208</f>
        <v>-110055.38461538462</v>
      </c>
      <c r="P243" s="213"/>
    </row>
  </sheetData>
  <mergeCells count="239">
    <mergeCell ref="D238:J238"/>
    <mergeCell ref="G243:J243"/>
    <mergeCell ref="A5:K5"/>
    <mergeCell ref="B230:J230"/>
    <mergeCell ref="B231:J231"/>
    <mergeCell ref="B232:J232"/>
    <mergeCell ref="B233:J233"/>
    <mergeCell ref="B234:J234"/>
    <mergeCell ref="B237:K237"/>
    <mergeCell ref="B222:J222"/>
    <mergeCell ref="B223:J223"/>
    <mergeCell ref="B224:J224"/>
    <mergeCell ref="B225:J225"/>
    <mergeCell ref="B228:K228"/>
    <mergeCell ref="B229:J229"/>
    <mergeCell ref="B214:J214"/>
    <mergeCell ref="B215:J215"/>
    <mergeCell ref="B216:J216"/>
    <mergeCell ref="B219:K219"/>
    <mergeCell ref="B220:J220"/>
    <mergeCell ref="B221:J221"/>
    <mergeCell ref="A193:K193"/>
    <mergeCell ref="B190:D190"/>
    <mergeCell ref="B185:D185"/>
    <mergeCell ref="B3:C3"/>
    <mergeCell ref="A210:K210"/>
    <mergeCell ref="B212:K212"/>
    <mergeCell ref="B213:J213"/>
    <mergeCell ref="A199:D199"/>
    <mergeCell ref="A204:D204"/>
    <mergeCell ref="A205:D205"/>
    <mergeCell ref="A194:D194"/>
    <mergeCell ref="A195:D195"/>
    <mergeCell ref="A196:D196"/>
    <mergeCell ref="A197:D197"/>
    <mergeCell ref="A198:D198"/>
    <mergeCell ref="J208:K208"/>
    <mergeCell ref="E206:G206"/>
    <mergeCell ref="E207:G207"/>
    <mergeCell ref="A200:D200"/>
    <mergeCell ref="A201:D201"/>
    <mergeCell ref="A202:D202"/>
    <mergeCell ref="A203:D203"/>
    <mergeCell ref="B180:C180"/>
    <mergeCell ref="D181:E181"/>
    <mergeCell ref="I181:J181"/>
    <mergeCell ref="B183:D183"/>
    <mergeCell ref="B184:D184"/>
    <mergeCell ref="B186:D186"/>
    <mergeCell ref="B187:D187"/>
    <mergeCell ref="B188:D188"/>
    <mergeCell ref="B189:D189"/>
    <mergeCell ref="B175:C175"/>
    <mergeCell ref="B176:C176"/>
    <mergeCell ref="B177:C177"/>
    <mergeCell ref="B178:C178"/>
    <mergeCell ref="B179:C179"/>
    <mergeCell ref="B170:C170"/>
    <mergeCell ref="B171:C171"/>
    <mergeCell ref="B172:C172"/>
    <mergeCell ref="B173:C173"/>
    <mergeCell ref="B174:C174"/>
    <mergeCell ref="B163:D163"/>
    <mergeCell ref="B164:D164"/>
    <mergeCell ref="B165:D165"/>
    <mergeCell ref="A168:H168"/>
    <mergeCell ref="I168:J168"/>
    <mergeCell ref="B158:D158"/>
    <mergeCell ref="B159:D159"/>
    <mergeCell ref="B160:D160"/>
    <mergeCell ref="B161:D161"/>
    <mergeCell ref="B162:D162"/>
    <mergeCell ref="B153:C153"/>
    <mergeCell ref="B154:C154"/>
    <mergeCell ref="B155:C155"/>
    <mergeCell ref="D156:E156"/>
    <mergeCell ref="I156:J156"/>
    <mergeCell ref="B148:C148"/>
    <mergeCell ref="B149:C149"/>
    <mergeCell ref="B150:C150"/>
    <mergeCell ref="B151:C151"/>
    <mergeCell ref="B152:C152"/>
    <mergeCell ref="A143:H143"/>
    <mergeCell ref="I143:J143"/>
    <mergeCell ref="B145:C145"/>
    <mergeCell ref="B146:C146"/>
    <mergeCell ref="B147:C147"/>
    <mergeCell ref="B136:D136"/>
    <mergeCell ref="B137:D137"/>
    <mergeCell ref="B138:D138"/>
    <mergeCell ref="B139:D139"/>
    <mergeCell ref="B140:D140"/>
    <mergeCell ref="D131:E131"/>
    <mergeCell ref="I131:J131"/>
    <mergeCell ref="B133:D133"/>
    <mergeCell ref="B134:D134"/>
    <mergeCell ref="B135:D135"/>
    <mergeCell ref="B126:C126"/>
    <mergeCell ref="B127:C127"/>
    <mergeCell ref="B128:C128"/>
    <mergeCell ref="B129:C129"/>
    <mergeCell ref="B130:C130"/>
    <mergeCell ref="B125:C125"/>
    <mergeCell ref="B114:D114"/>
    <mergeCell ref="B115:D115"/>
    <mergeCell ref="A118:H118"/>
    <mergeCell ref="I118:J118"/>
    <mergeCell ref="B120:C120"/>
    <mergeCell ref="I106:J106"/>
    <mergeCell ref="B108:D108"/>
    <mergeCell ref="B121:C121"/>
    <mergeCell ref="B122:C122"/>
    <mergeCell ref="B123:C123"/>
    <mergeCell ref="B124:C124"/>
    <mergeCell ref="A93:H93"/>
    <mergeCell ref="B109:D109"/>
    <mergeCell ref="B110:D110"/>
    <mergeCell ref="B111:D111"/>
    <mergeCell ref="B112:D112"/>
    <mergeCell ref="B113:D113"/>
    <mergeCell ref="B104:C104"/>
    <mergeCell ref="B105:C105"/>
    <mergeCell ref="D106:E106"/>
    <mergeCell ref="B99:C99"/>
    <mergeCell ref="B100:C100"/>
    <mergeCell ref="B101:C101"/>
    <mergeCell ref="B102:C102"/>
    <mergeCell ref="B103:C103"/>
    <mergeCell ref="I93:J93"/>
    <mergeCell ref="B95:C95"/>
    <mergeCell ref="B96:C96"/>
    <mergeCell ref="B97:C97"/>
    <mergeCell ref="B98:C98"/>
    <mergeCell ref="B65:D65"/>
    <mergeCell ref="B89:D89"/>
    <mergeCell ref="B90:D90"/>
    <mergeCell ref="G22:H22"/>
    <mergeCell ref="B35:C35"/>
    <mergeCell ref="B44:D44"/>
    <mergeCell ref="D41:E41"/>
    <mergeCell ref="A22:B22"/>
    <mergeCell ref="B36:C36"/>
    <mergeCell ref="B37:C37"/>
    <mergeCell ref="B62:D62"/>
    <mergeCell ref="B63:D63"/>
    <mergeCell ref="B64:D64"/>
    <mergeCell ref="B31:C31"/>
    <mergeCell ref="B32:C32"/>
    <mergeCell ref="B33:C33"/>
    <mergeCell ref="B34:C34"/>
    <mergeCell ref="B85:D85"/>
    <mergeCell ref="B86:D86"/>
    <mergeCell ref="B87:D87"/>
    <mergeCell ref="B88:D88"/>
    <mergeCell ref="A16:B16"/>
    <mergeCell ref="A17:B17"/>
    <mergeCell ref="A18:B18"/>
    <mergeCell ref="A19:B19"/>
    <mergeCell ref="A20:B20"/>
    <mergeCell ref="A21:B21"/>
    <mergeCell ref="B61:D61"/>
    <mergeCell ref="B52:D52"/>
    <mergeCell ref="B53:D53"/>
    <mergeCell ref="B54:D54"/>
    <mergeCell ref="B55:D55"/>
    <mergeCell ref="B56:D56"/>
    <mergeCell ref="D17:F17"/>
    <mergeCell ref="B70:C70"/>
    <mergeCell ref="B71:C71"/>
    <mergeCell ref="B72:C72"/>
    <mergeCell ref="A1:B1"/>
    <mergeCell ref="F1:G1"/>
    <mergeCell ref="I81:J81"/>
    <mergeCell ref="I68:J68"/>
    <mergeCell ref="A68:H68"/>
    <mergeCell ref="B84:D84"/>
    <mergeCell ref="D19:F19"/>
    <mergeCell ref="D20:F20"/>
    <mergeCell ref="D21:F21"/>
    <mergeCell ref="D22:F22"/>
    <mergeCell ref="B80:C80"/>
    <mergeCell ref="D81:E81"/>
    <mergeCell ref="B73:C73"/>
    <mergeCell ref="B74:C74"/>
    <mergeCell ref="B75:C75"/>
    <mergeCell ref="B76:C76"/>
    <mergeCell ref="B77:C77"/>
    <mergeCell ref="B48:D48"/>
    <mergeCell ref="B49:D49"/>
    <mergeCell ref="B50:D50"/>
    <mergeCell ref="B51:D51"/>
    <mergeCell ref="B78:C78"/>
    <mergeCell ref="B79:C79"/>
    <mergeCell ref="B57:D57"/>
    <mergeCell ref="B58:D58"/>
    <mergeCell ref="B59:D59"/>
    <mergeCell ref="B60:D60"/>
    <mergeCell ref="G9:H9"/>
    <mergeCell ref="C1:E1"/>
    <mergeCell ref="B30:C30"/>
    <mergeCell ref="A15:B15"/>
    <mergeCell ref="G20:H20"/>
    <mergeCell ref="G10:H10"/>
    <mergeCell ref="G12:H12"/>
    <mergeCell ref="G13:H13"/>
    <mergeCell ref="G15:H15"/>
    <mergeCell ref="G16:H16"/>
    <mergeCell ref="G7:H7"/>
    <mergeCell ref="G8:H8"/>
    <mergeCell ref="G17:H17"/>
    <mergeCell ref="G18:H18"/>
    <mergeCell ref="G19:H19"/>
    <mergeCell ref="D14:F14"/>
    <mergeCell ref="D15:F15"/>
    <mergeCell ref="D16:F16"/>
    <mergeCell ref="B83:D83"/>
    <mergeCell ref="A28:K28"/>
    <mergeCell ref="A26:K26"/>
    <mergeCell ref="B43:D43"/>
    <mergeCell ref="B45:D45"/>
    <mergeCell ref="B46:D46"/>
    <mergeCell ref="B47:D47"/>
    <mergeCell ref="D18:F18"/>
    <mergeCell ref="D7:F7"/>
    <mergeCell ref="D8:F8"/>
    <mergeCell ref="D9:F9"/>
    <mergeCell ref="D10:F10"/>
    <mergeCell ref="D11:F11"/>
    <mergeCell ref="D12:F12"/>
    <mergeCell ref="D13:F13"/>
    <mergeCell ref="G21:H21"/>
    <mergeCell ref="A7:B7"/>
    <mergeCell ref="A8:B8"/>
    <mergeCell ref="A9:B9"/>
    <mergeCell ref="A10:B10"/>
    <mergeCell ref="A11:B11"/>
    <mergeCell ref="A12:B12"/>
    <mergeCell ref="A13:B13"/>
    <mergeCell ref="A14:B14"/>
  </mergeCells>
  <conditionalFormatting sqref="L5:L6 N18:N23">
    <cfRule type="cellIs" dxfId="6" priority="5" stopIfTrue="1" operator="lessThan">
      <formula>0</formula>
    </cfRule>
  </conditionalFormatting>
  <conditionalFormatting sqref="N1">
    <cfRule type="cellIs" dxfId="5" priority="4" stopIfTrue="1" operator="lessThan">
      <formula>0</formula>
    </cfRule>
  </conditionalFormatting>
  <conditionalFormatting sqref="K3">
    <cfRule type="cellIs" dxfId="4" priority="3" stopIfTrue="1" operator="lessThan">
      <formula>0</formula>
    </cfRule>
  </conditionalFormatting>
  <conditionalFormatting sqref="N3 A3:B3">
    <cfRule type="cellIs" dxfId="3" priority="2" stopIfTrue="1" operator="lessThan">
      <formula>0</formula>
    </cfRule>
  </conditionalFormatting>
  <conditionalFormatting sqref="K243">
    <cfRule type="cellIs" dxfId="2" priority="1" stopIfTrue="1" operator="lessThan">
      <formula>0</formula>
    </cfRule>
  </conditionalFormatting>
  <dataValidations count="4">
    <dataValidation type="list" allowBlank="1" showInputMessage="1" sqref="K1" xr:uid="{DF815248-5071-490D-ACF6-7357E8E0CFAF}">
      <mc:AlternateContent xmlns:x12ac="http://schemas.microsoft.com/office/spreadsheetml/2011/1/ac" xmlns:mc="http://schemas.openxmlformats.org/markup-compatibility/2006">
        <mc:Choice Requires="x12ac">
          <x12ac:list>"1,50","1,45","1,42","1,40"</x12ac:list>
        </mc:Choice>
        <mc:Fallback>
          <formula1>"1,50,1,45,1,42,1,40"</formula1>
        </mc:Fallback>
      </mc:AlternateContent>
    </dataValidation>
    <dataValidation type="whole" allowBlank="1" showInputMessage="1" showErrorMessage="1" sqref="H171:H180 H31:H40 H96:H105 H121:H130 H146:H155 H71:H80" xr:uid="{41A52F54-3C5A-455E-B179-7CFC3A5F1F70}">
      <formula1>0</formula1>
      <formula2>128</formula2>
    </dataValidation>
    <dataValidation type="list" allowBlank="1" showInputMessage="1" showErrorMessage="1" sqref="E171:E180 E71:E80 E96:E105 E121:E130 E146:E155 E31:E40" xr:uid="{B67ACA9E-A2EF-4DC4-B30A-2FC699BC381D}">
      <formula1>"5jours/sem,6jours/sem"</formula1>
    </dataValidation>
    <dataValidation type="list" allowBlank="1" showInputMessage="1" showErrorMessage="1" sqref="G171:G180 G71:G80 G96:G105 G121:G130 G146:G155 G31:G40" xr:uid="{99E7ECBC-C0EB-4159-9A9D-987BD4D328B9}">
      <formula1>"Jour,Semaine,Mois"</formula1>
    </dataValidation>
  </dataValidations>
  <pageMargins left="0.7" right="0.7" top="0.75" bottom="0.75" header="0.3" footer="0.3"/>
  <pageSetup paperSize="9" scale="5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4E735-CD83-4A3C-8A39-783A304ECC28}">
  <sheetPr>
    <tabColor theme="9"/>
    <pageSetUpPr fitToPage="1"/>
  </sheetPr>
  <dimension ref="A1:R247"/>
  <sheetViews>
    <sheetView workbookViewId="0">
      <selection activeCell="O28" sqref="O28"/>
    </sheetView>
    <sheetView workbookViewId="1">
      <selection sqref="A1:B1"/>
    </sheetView>
  </sheetViews>
  <sheetFormatPr baseColWidth="10" defaultRowHeight="13.2"/>
  <cols>
    <col min="1" max="1" width="5.5546875" style="336" bestFit="1" customWidth="1"/>
    <col min="2" max="2" width="19" style="336" customWidth="1"/>
    <col min="3" max="3" width="5.77734375" style="336" customWidth="1"/>
    <col min="4" max="4" width="14.109375" style="336" bestFit="1" customWidth="1"/>
    <col min="5" max="5" width="10.6640625" style="336" bestFit="1" customWidth="1"/>
    <col min="6" max="6" width="11.5546875" style="336"/>
    <col min="7" max="7" width="14.109375" style="336" bestFit="1" customWidth="1"/>
    <col min="8" max="8" width="8.5546875" style="336" bestFit="1" customWidth="1"/>
    <col min="9" max="9" width="14.88671875" style="336" customWidth="1"/>
    <col min="10" max="10" width="19.6640625" style="336" customWidth="1"/>
    <col min="11" max="11" width="16.44140625" style="336" bestFit="1" customWidth="1"/>
    <col min="12" max="12" width="2.88671875" style="336" customWidth="1"/>
    <col min="13" max="13" width="6" style="336" bestFit="1" customWidth="1"/>
    <col min="14" max="14" width="26" style="337" customWidth="1"/>
    <col min="15" max="18" width="11.5546875" style="336"/>
    <col min="19" max="19" width="12.5546875" style="336" bestFit="1" customWidth="1"/>
    <col min="20" max="16384" width="11.5546875" style="336"/>
  </cols>
  <sheetData>
    <row r="1" spans="1:16" s="325" customFormat="1" ht="55.8" customHeight="1" thickBot="1">
      <c r="A1" s="1513" t="s">
        <v>135</v>
      </c>
      <c r="B1" s="1514"/>
      <c r="C1" s="1515" t="s">
        <v>793</v>
      </c>
      <c r="D1" s="1516"/>
      <c r="E1" s="1517"/>
      <c r="F1" s="1518" t="s">
        <v>30</v>
      </c>
      <c r="G1" s="1519" t="e">
        <f>#REF!</f>
        <v>#REF!</v>
      </c>
      <c r="H1" s="320" t="s">
        <v>0</v>
      </c>
      <c r="I1" s="321" t="s">
        <v>39</v>
      </c>
      <c r="J1" s="320" t="s">
        <v>38</v>
      </c>
      <c r="K1" s="322">
        <v>1.5</v>
      </c>
      <c r="L1" s="323"/>
      <c r="M1" s="323"/>
      <c r="N1" s="324"/>
      <c r="O1" s="323"/>
      <c r="P1" s="323"/>
    </row>
    <row r="2" spans="1:16" s="325" customFormat="1" ht="13.8" thickBot="1">
      <c r="A2" s="324"/>
      <c r="B2" s="324"/>
      <c r="C2" s="324"/>
      <c r="D2" s="324"/>
      <c r="E2" s="324"/>
      <c r="F2" s="324"/>
      <c r="G2" s="324"/>
      <c r="H2" s="324"/>
      <c r="I2" s="324"/>
      <c r="J2" s="324"/>
      <c r="K2" s="324"/>
      <c r="L2" s="324"/>
      <c r="M2" s="324"/>
      <c r="N2" s="324"/>
      <c r="O2" s="323"/>
      <c r="P2" s="323"/>
    </row>
    <row r="3" spans="1:16" s="334" customFormat="1" ht="16.2" thickBot="1">
      <c r="A3" s="326"/>
      <c r="B3" s="1520" t="s">
        <v>162</v>
      </c>
      <c r="C3" s="1520"/>
      <c r="D3" s="328">
        <f>K242</f>
        <v>0</v>
      </c>
      <c r="E3" s="329"/>
      <c r="F3" s="327" t="s">
        <v>163</v>
      </c>
      <c r="G3" s="328">
        <f>J209</f>
        <v>60026.153846153851</v>
      </c>
      <c r="H3" s="329"/>
      <c r="I3" s="329"/>
      <c r="J3" s="330" t="s">
        <v>161</v>
      </c>
      <c r="K3" s="331">
        <f>K244</f>
        <v>-60026.153846153851</v>
      </c>
      <c r="L3" s="332"/>
      <c r="M3" s="332"/>
      <c r="N3" s="332"/>
      <c r="O3" s="333"/>
      <c r="P3" s="333"/>
    </row>
    <row r="4" spans="1:16" ht="13.8" thickBot="1">
      <c r="A4" s="335"/>
      <c r="B4" s="335"/>
      <c r="C4" s="335"/>
      <c r="D4" s="335"/>
      <c r="E4" s="335"/>
      <c r="F4" s="335"/>
      <c r="G4" s="335"/>
      <c r="H4" s="335"/>
      <c r="I4" s="335"/>
      <c r="J4" s="335"/>
      <c r="K4" s="335"/>
    </row>
    <row r="5" spans="1:16" s="325" customFormat="1" ht="19.95" customHeight="1" thickBot="1">
      <c r="A5" s="1483" t="s">
        <v>704</v>
      </c>
      <c r="B5" s="1484"/>
      <c r="C5" s="1484"/>
      <c r="D5" s="1484"/>
      <c r="E5" s="1484"/>
      <c r="F5" s="1484"/>
      <c r="G5" s="1484"/>
      <c r="H5" s="1484"/>
      <c r="I5" s="1484"/>
      <c r="J5" s="1484"/>
      <c r="K5" s="1485"/>
      <c r="L5" s="323"/>
      <c r="M5" s="323"/>
      <c r="N5" s="324"/>
    </row>
    <row r="6" spans="1:16" s="325" customFormat="1" ht="18" customHeight="1" thickBot="1">
      <c r="B6" s="338"/>
      <c r="C6" s="339"/>
      <c r="D6" s="340"/>
      <c r="E6" s="341"/>
      <c r="F6" s="341"/>
      <c r="G6" s="342"/>
      <c r="H6" s="343"/>
      <c r="I6" s="344"/>
      <c r="J6" s="323"/>
      <c r="K6" s="323"/>
      <c r="L6" s="323"/>
      <c r="M6" s="323"/>
      <c r="N6" s="324"/>
    </row>
    <row r="7" spans="1:16" s="325" customFormat="1" ht="16.95" customHeight="1" thickBot="1">
      <c r="A7" s="1521" t="s">
        <v>21</v>
      </c>
      <c r="B7" s="1522"/>
      <c r="C7" s="345"/>
      <c r="D7" s="1522" t="s">
        <v>22</v>
      </c>
      <c r="E7" s="1522"/>
      <c r="F7" s="1523"/>
      <c r="G7" s="1524" t="s">
        <v>2</v>
      </c>
      <c r="H7" s="1523"/>
      <c r="I7" s="346" t="s">
        <v>28</v>
      </c>
      <c r="J7" s="347" t="s">
        <v>32</v>
      </c>
      <c r="K7" s="348" t="s">
        <v>52</v>
      </c>
      <c r="L7" s="323"/>
      <c r="M7" s="323"/>
      <c r="N7" s="324" t="s">
        <v>31</v>
      </c>
      <c r="O7" s="323"/>
      <c r="P7" s="323" t="s">
        <v>31</v>
      </c>
    </row>
    <row r="8" spans="1:16" s="325" customFormat="1" ht="15" customHeight="1">
      <c r="A8" s="1264" t="s">
        <v>703</v>
      </c>
      <c r="B8" s="1265"/>
      <c r="C8" s="349"/>
      <c r="D8" s="1507"/>
      <c r="E8" s="1507"/>
      <c r="F8" s="1508"/>
      <c r="G8" s="1509"/>
      <c r="H8" s="1510"/>
      <c r="I8" s="350"/>
      <c r="J8" s="351"/>
      <c r="K8" s="352">
        <f t="shared" ref="K8:K22" si="0">I8*J8</f>
        <v>0</v>
      </c>
      <c r="L8" s="353"/>
      <c r="M8" s="353"/>
      <c r="N8" s="354" t="s">
        <v>24</v>
      </c>
      <c r="O8" s="323"/>
      <c r="P8" s="355" t="s">
        <v>24</v>
      </c>
    </row>
    <row r="9" spans="1:16" s="325" customFormat="1" ht="15" customHeight="1">
      <c r="A9" s="1503" t="s">
        <v>113</v>
      </c>
      <c r="B9" s="1504"/>
      <c r="C9" s="356"/>
      <c r="D9" s="1505"/>
      <c r="E9" s="1505"/>
      <c r="F9" s="1505"/>
      <c r="G9" s="1511"/>
      <c r="H9" s="1512"/>
      <c r="I9" s="357">
        <v>3</v>
      </c>
      <c r="J9" s="358">
        <v>10</v>
      </c>
      <c r="K9" s="359">
        <f t="shared" si="0"/>
        <v>30</v>
      </c>
      <c r="L9" s="353"/>
      <c r="M9" s="353"/>
      <c r="N9" s="360" t="s">
        <v>23</v>
      </c>
      <c r="O9" s="323"/>
      <c r="P9" s="361" t="s">
        <v>23</v>
      </c>
    </row>
    <row r="10" spans="1:16" s="325" customFormat="1" ht="13.8">
      <c r="A10" s="1493" t="s">
        <v>81</v>
      </c>
      <c r="B10" s="1494"/>
      <c r="C10" s="362"/>
      <c r="D10" s="1495" t="s">
        <v>117</v>
      </c>
      <c r="E10" s="1495"/>
      <c r="F10" s="1495"/>
      <c r="G10" s="1496"/>
      <c r="H10" s="1497"/>
      <c r="I10" s="363">
        <v>4</v>
      </c>
      <c r="J10" s="364">
        <v>30</v>
      </c>
      <c r="K10" s="365">
        <f t="shared" si="0"/>
        <v>120</v>
      </c>
      <c r="L10" s="353"/>
      <c r="M10" s="353"/>
      <c r="N10" s="366" t="s">
        <v>25</v>
      </c>
      <c r="O10" s="323"/>
      <c r="P10" s="367" t="s">
        <v>25</v>
      </c>
    </row>
    <row r="11" spans="1:16" s="325" customFormat="1" ht="15" customHeight="1">
      <c r="A11" s="1503" t="s">
        <v>114</v>
      </c>
      <c r="B11" s="1504"/>
      <c r="C11" s="356"/>
      <c r="D11" s="1505"/>
      <c r="E11" s="1505"/>
      <c r="F11" s="1505"/>
      <c r="G11" s="368"/>
      <c r="H11" s="369"/>
      <c r="I11" s="357">
        <v>3</v>
      </c>
      <c r="J11" s="358">
        <v>5</v>
      </c>
      <c r="K11" s="359">
        <f t="shared" si="0"/>
        <v>15</v>
      </c>
      <c r="L11" s="353"/>
      <c r="M11" s="353"/>
      <c r="N11" s="370" t="s">
        <v>26</v>
      </c>
      <c r="O11" s="323"/>
      <c r="P11" s="371" t="s">
        <v>81</v>
      </c>
    </row>
    <row r="12" spans="1:16" s="325" customFormat="1" ht="15" customHeight="1">
      <c r="A12" s="1493" t="s">
        <v>115</v>
      </c>
      <c r="B12" s="1494"/>
      <c r="C12" s="362"/>
      <c r="D12" s="1506" t="s">
        <v>118</v>
      </c>
      <c r="E12" s="1506"/>
      <c r="F12" s="1506"/>
      <c r="G12" s="1496"/>
      <c r="H12" s="1497"/>
      <c r="I12" s="363">
        <v>4</v>
      </c>
      <c r="J12" s="364">
        <v>2</v>
      </c>
      <c r="K12" s="365">
        <f t="shared" si="0"/>
        <v>8</v>
      </c>
      <c r="L12" s="353"/>
      <c r="M12" s="353"/>
      <c r="N12" s="372" t="s">
        <v>55</v>
      </c>
      <c r="O12" s="323"/>
      <c r="P12" s="373" t="s">
        <v>55</v>
      </c>
    </row>
    <row r="13" spans="1:16" s="325" customFormat="1" ht="15" customHeight="1" thickBot="1">
      <c r="A13" s="1493" t="s">
        <v>116</v>
      </c>
      <c r="B13" s="1494"/>
      <c r="C13" s="362"/>
      <c r="D13" s="1495" t="s">
        <v>119</v>
      </c>
      <c r="E13" s="1495"/>
      <c r="F13" s="1495"/>
      <c r="G13" s="1496"/>
      <c r="H13" s="1497"/>
      <c r="I13" s="363">
        <v>4</v>
      </c>
      <c r="J13" s="364">
        <v>8</v>
      </c>
      <c r="K13" s="365">
        <f t="shared" si="0"/>
        <v>32</v>
      </c>
      <c r="L13" s="353"/>
      <c r="M13" s="353"/>
      <c r="N13" s="374" t="s">
        <v>54</v>
      </c>
      <c r="O13" s="323"/>
      <c r="P13" s="375" t="s">
        <v>54</v>
      </c>
    </row>
    <row r="14" spans="1:16" s="325" customFormat="1" ht="15" hidden="1" customHeight="1">
      <c r="A14" s="1498"/>
      <c r="B14" s="1499"/>
      <c r="C14" s="376"/>
      <c r="D14" s="1500"/>
      <c r="E14" s="1500"/>
      <c r="F14" s="1500"/>
      <c r="G14" s="377"/>
      <c r="H14" s="378"/>
      <c r="I14" s="379"/>
      <c r="J14" s="380"/>
      <c r="K14" s="381">
        <f t="shared" si="0"/>
        <v>0</v>
      </c>
      <c r="L14" s="353"/>
      <c r="M14" s="353"/>
      <c r="N14" s="382" t="s">
        <v>27</v>
      </c>
      <c r="O14" s="323"/>
      <c r="P14" s="383" t="s">
        <v>27</v>
      </c>
    </row>
    <row r="15" spans="1:16" s="325" customFormat="1" ht="13.8" hidden="1" customHeight="1">
      <c r="A15" s="1501"/>
      <c r="B15" s="1502"/>
      <c r="C15" s="384"/>
      <c r="D15" s="1492"/>
      <c r="E15" s="1492"/>
      <c r="F15" s="1492"/>
      <c r="G15" s="1490"/>
      <c r="H15" s="1491"/>
      <c r="I15" s="385"/>
      <c r="J15" s="386"/>
      <c r="K15" s="387">
        <f t="shared" si="0"/>
        <v>0</v>
      </c>
      <c r="L15" s="353"/>
      <c r="M15" s="353"/>
      <c r="N15" s="324"/>
      <c r="O15" s="323"/>
      <c r="P15" s="323"/>
    </row>
    <row r="16" spans="1:16" s="325" customFormat="1" ht="15" hidden="1" customHeight="1">
      <c r="A16" s="1487"/>
      <c r="B16" s="1488"/>
      <c r="C16" s="388"/>
      <c r="D16" s="1492"/>
      <c r="E16" s="1492"/>
      <c r="F16" s="1492"/>
      <c r="G16" s="1490"/>
      <c r="H16" s="1491"/>
      <c r="I16" s="385"/>
      <c r="J16" s="386"/>
      <c r="K16" s="387">
        <f t="shared" si="0"/>
        <v>0</v>
      </c>
      <c r="L16" s="353"/>
      <c r="M16" s="353"/>
      <c r="N16" s="324"/>
      <c r="O16" s="323"/>
      <c r="P16" s="323"/>
    </row>
    <row r="17" spans="1:18" s="325" customFormat="1" ht="15" hidden="1" customHeight="1">
      <c r="A17" s="1487"/>
      <c r="B17" s="1488"/>
      <c r="C17" s="388"/>
      <c r="D17" s="1492"/>
      <c r="E17" s="1492"/>
      <c r="F17" s="1492"/>
      <c r="G17" s="1490"/>
      <c r="H17" s="1491"/>
      <c r="I17" s="385"/>
      <c r="J17" s="386"/>
      <c r="K17" s="387">
        <f t="shared" si="0"/>
        <v>0</v>
      </c>
      <c r="L17" s="353"/>
      <c r="M17" s="353"/>
      <c r="N17" s="389"/>
      <c r="O17" s="323"/>
    </row>
    <row r="18" spans="1:18" s="325" customFormat="1" ht="13.8" hidden="1">
      <c r="A18" s="1487"/>
      <c r="B18" s="1488"/>
      <c r="C18" s="388"/>
      <c r="D18" s="1489"/>
      <c r="E18" s="1489"/>
      <c r="F18" s="1489"/>
      <c r="G18" s="1490"/>
      <c r="H18" s="1491"/>
      <c r="I18" s="385"/>
      <c r="J18" s="386"/>
      <c r="K18" s="387">
        <f t="shared" si="0"/>
        <v>0</v>
      </c>
      <c r="L18" s="353"/>
      <c r="M18" s="353"/>
      <c r="N18" s="353"/>
      <c r="O18" s="323"/>
      <c r="P18" s="323"/>
      <c r="Q18" s="390"/>
      <c r="R18" s="390"/>
    </row>
    <row r="19" spans="1:18" s="325" customFormat="1" ht="15" hidden="1" customHeight="1">
      <c r="A19" s="1487"/>
      <c r="B19" s="1488"/>
      <c r="C19" s="388"/>
      <c r="D19" s="1492"/>
      <c r="E19" s="1492"/>
      <c r="F19" s="1492"/>
      <c r="G19" s="1490"/>
      <c r="H19" s="1491"/>
      <c r="I19" s="385"/>
      <c r="J19" s="386"/>
      <c r="K19" s="387">
        <f t="shared" si="0"/>
        <v>0</v>
      </c>
      <c r="L19" s="353"/>
      <c r="M19" s="353"/>
      <c r="N19" s="353"/>
      <c r="O19" s="323"/>
      <c r="P19" s="323"/>
      <c r="Q19" s="390"/>
      <c r="R19" s="390"/>
    </row>
    <row r="20" spans="1:18" s="325" customFormat="1" ht="13.8" hidden="1">
      <c r="A20" s="1487"/>
      <c r="B20" s="1488"/>
      <c r="C20" s="388"/>
      <c r="D20" s="1489"/>
      <c r="E20" s="1489"/>
      <c r="F20" s="1489"/>
      <c r="G20" s="1490"/>
      <c r="H20" s="1491"/>
      <c r="I20" s="385"/>
      <c r="J20" s="386"/>
      <c r="K20" s="387">
        <f t="shared" si="0"/>
        <v>0</v>
      </c>
      <c r="L20" s="353"/>
      <c r="M20" s="353"/>
      <c r="N20" s="353"/>
      <c r="O20" s="323"/>
      <c r="P20" s="323"/>
      <c r="Q20" s="390"/>
      <c r="R20" s="390"/>
    </row>
    <row r="21" spans="1:18" s="325" customFormat="1" ht="15" hidden="1" customHeight="1">
      <c r="A21" s="1487"/>
      <c r="B21" s="1488"/>
      <c r="C21" s="388"/>
      <c r="D21" s="1492"/>
      <c r="E21" s="1492"/>
      <c r="F21" s="1492"/>
      <c r="G21" s="1490"/>
      <c r="H21" s="1491"/>
      <c r="I21" s="385"/>
      <c r="J21" s="386"/>
      <c r="K21" s="387">
        <f t="shared" si="0"/>
        <v>0</v>
      </c>
      <c r="L21" s="353"/>
      <c r="M21" s="353"/>
      <c r="N21" s="353"/>
      <c r="O21" s="323"/>
      <c r="P21" s="323"/>
      <c r="Q21" s="390"/>
      <c r="R21" s="390"/>
    </row>
    <row r="22" spans="1:18" s="325" customFormat="1" ht="16.05" hidden="1" customHeight="1" thickBot="1">
      <c r="A22" s="1477"/>
      <c r="B22" s="1478"/>
      <c r="C22" s="391"/>
      <c r="D22" s="1479"/>
      <c r="E22" s="1479"/>
      <c r="F22" s="1480"/>
      <c r="G22" s="1481"/>
      <c r="H22" s="1482"/>
      <c r="I22" s="392"/>
      <c r="J22" s="393"/>
      <c r="K22" s="394">
        <f t="shared" si="0"/>
        <v>0</v>
      </c>
      <c r="L22" s="353"/>
      <c r="M22" s="353"/>
      <c r="N22" s="353"/>
      <c r="O22" s="323"/>
      <c r="P22" s="323"/>
      <c r="Q22" s="390"/>
      <c r="R22" s="390"/>
    </row>
    <row r="23" spans="1:18" s="325" customFormat="1" ht="18" customHeight="1" thickBot="1">
      <c r="A23" s="446"/>
      <c r="B23" s="988"/>
      <c r="C23" s="988"/>
      <c r="D23" s="988"/>
      <c r="E23" s="988"/>
      <c r="F23" s="989"/>
      <c r="G23" s="990"/>
      <c r="H23" s="988"/>
      <c r="I23" s="991"/>
      <c r="J23" s="395">
        <f>SUM(J8:J22)</f>
        <v>55</v>
      </c>
      <c r="K23" s="395">
        <f>SUM(K8:K22)</f>
        <v>205</v>
      </c>
      <c r="L23" s="396"/>
      <c r="M23" s="396"/>
      <c r="N23" s="396"/>
      <c r="O23" s="323"/>
      <c r="P23" s="323"/>
      <c r="Q23" s="390"/>
      <c r="R23" s="390"/>
    </row>
    <row r="25" spans="1:18" ht="13.8" thickBot="1"/>
    <row r="26" spans="1:18" s="325" customFormat="1" ht="19.95" customHeight="1" thickBot="1">
      <c r="A26" s="1483" t="s">
        <v>1</v>
      </c>
      <c r="B26" s="1484"/>
      <c r="C26" s="1484"/>
      <c r="D26" s="1484"/>
      <c r="E26" s="1484"/>
      <c r="F26" s="1484"/>
      <c r="G26" s="1484"/>
      <c r="H26" s="1484"/>
      <c r="I26" s="1484"/>
      <c r="J26" s="1484"/>
      <c r="K26" s="1485"/>
      <c r="L26" s="323"/>
      <c r="M26" s="323"/>
      <c r="N26" s="397"/>
    </row>
    <row r="27" spans="1:18" ht="13.8" thickBot="1"/>
    <row r="28" spans="1:18" ht="16.2" thickBot="1">
      <c r="A28" s="1452" t="s">
        <v>18</v>
      </c>
      <c r="B28" s="1453"/>
      <c r="C28" s="1453"/>
      <c r="D28" s="1453"/>
      <c r="E28" s="1453"/>
      <c r="F28" s="1453"/>
      <c r="G28" s="1453"/>
      <c r="H28" s="1453"/>
      <c r="I28" s="1453"/>
      <c r="J28" s="1453"/>
      <c r="K28" s="1486"/>
    </row>
    <row r="29" spans="1:18" ht="13.8" thickBot="1">
      <c r="A29" s="398"/>
      <c r="B29" s="399"/>
      <c r="C29" s="399"/>
      <c r="D29" s="399"/>
      <c r="E29" s="399"/>
      <c r="F29" s="399"/>
      <c r="G29" s="399"/>
      <c r="H29" s="399"/>
      <c r="I29" s="399"/>
      <c r="J29" s="399"/>
      <c r="K29" s="400"/>
    </row>
    <row r="30" spans="1:18" ht="14.4" thickBot="1">
      <c r="A30" s="401" t="s">
        <v>83</v>
      </c>
      <c r="B30" s="1455" t="s">
        <v>91</v>
      </c>
      <c r="C30" s="1456"/>
      <c r="D30" s="402" t="s">
        <v>43</v>
      </c>
      <c r="E30" s="403" t="s">
        <v>44</v>
      </c>
      <c r="F30" s="403" t="s">
        <v>82</v>
      </c>
      <c r="G30" s="403" t="s">
        <v>3</v>
      </c>
      <c r="H30" s="404" t="s">
        <v>4</v>
      </c>
      <c r="I30" s="404" t="s">
        <v>80</v>
      </c>
      <c r="J30" s="405" t="s">
        <v>84</v>
      </c>
      <c r="K30" s="406" t="s">
        <v>17</v>
      </c>
    </row>
    <row r="31" spans="1:18" ht="13.8">
      <c r="A31" s="407">
        <v>620</v>
      </c>
      <c r="B31" s="1473" t="s">
        <v>34</v>
      </c>
      <c r="C31" s="1474"/>
      <c r="D31" s="408"/>
      <c r="E31" s="409"/>
      <c r="F31" s="410">
        <v>161</v>
      </c>
      <c r="G31" s="411" t="s">
        <v>29</v>
      </c>
      <c r="H31" s="412">
        <f>J9+J11</f>
        <v>15</v>
      </c>
      <c r="I31" s="413"/>
      <c r="J31" s="414"/>
      <c r="K31" s="415">
        <f>F31*H31</f>
        <v>2415</v>
      </c>
    </row>
    <row r="32" spans="1:18" ht="13.8">
      <c r="A32" s="416">
        <v>620</v>
      </c>
      <c r="B32" s="1475" t="s">
        <v>34</v>
      </c>
      <c r="C32" s="1476"/>
      <c r="D32" s="417"/>
      <c r="E32" s="418"/>
      <c r="F32" s="419">
        <v>161</v>
      </c>
      <c r="G32" s="420" t="s">
        <v>29</v>
      </c>
      <c r="H32" s="421">
        <f>H31</f>
        <v>15</v>
      </c>
      <c r="I32" s="422"/>
      <c r="J32" s="423"/>
      <c r="K32" s="424">
        <f>F32*H32</f>
        <v>2415</v>
      </c>
    </row>
    <row r="33" spans="1:14" ht="13.8" hidden="1">
      <c r="A33" s="416">
        <v>620</v>
      </c>
      <c r="B33" s="1475" t="s">
        <v>34</v>
      </c>
      <c r="C33" s="1476"/>
      <c r="D33" s="417"/>
      <c r="E33" s="418"/>
      <c r="F33" s="419">
        <v>161</v>
      </c>
      <c r="G33" s="420" t="s">
        <v>29</v>
      </c>
      <c r="H33" s="421">
        <v>0</v>
      </c>
      <c r="I33" s="422"/>
      <c r="J33" s="423"/>
      <c r="K33" s="424">
        <f>F33*H33</f>
        <v>0</v>
      </c>
    </row>
    <row r="34" spans="1:14" ht="14.4" thickBot="1">
      <c r="A34" s="425">
        <v>620</v>
      </c>
      <c r="B34" s="1443" t="s">
        <v>843</v>
      </c>
      <c r="C34" s="1444"/>
      <c r="D34" s="428">
        <v>3000</v>
      </c>
      <c r="E34" s="429" t="s">
        <v>45</v>
      </c>
      <c r="F34" s="430">
        <f t="shared" ref="F34:F40" si="1">IF(E34="5jours/sem", D34*3/13/5,IF(E34="6jours/sem",D34*3/13/6,""))</f>
        <v>138.46153846153845</v>
      </c>
      <c r="G34" s="431" t="s">
        <v>29</v>
      </c>
      <c r="H34" s="432">
        <v>25</v>
      </c>
      <c r="I34" s="433">
        <f t="shared" ref="I34:I40" si="2">IF(E34="",0,IF(G34="",0,IF(E34="5jours/sem",IF(G34="Jour",H34*D34*3/13/5,IF(G34="Semaine",H34*D34*3/13,IF(G34="Mois",H34*D34,0))),IF(E34="6jours/sem",IF(G34="Jour",H34*D34*3/13/6,IF(G34="Semaine",H34*D34*3/13,IF(G34="Mois",H34*D34,0)))))))</f>
        <v>3461.5384615384619</v>
      </c>
      <c r="J34" s="434"/>
      <c r="K34" s="424">
        <f t="shared" ref="K34:K40" si="3">I34*K$1+J34*H34</f>
        <v>5192.3076923076933</v>
      </c>
    </row>
    <row r="35" spans="1:14" ht="13.8" hidden="1">
      <c r="A35" s="425">
        <v>620</v>
      </c>
      <c r="B35" s="1443" t="s">
        <v>35</v>
      </c>
      <c r="C35" s="1444"/>
      <c r="D35" s="428">
        <v>2800</v>
      </c>
      <c r="E35" s="429" t="s">
        <v>45</v>
      </c>
      <c r="F35" s="430">
        <f t="shared" si="1"/>
        <v>129.23076923076923</v>
      </c>
      <c r="G35" s="431" t="s">
        <v>29</v>
      </c>
      <c r="H35" s="432"/>
      <c r="I35" s="433">
        <f t="shared" si="2"/>
        <v>0</v>
      </c>
      <c r="J35" s="434">
        <v>0</v>
      </c>
      <c r="K35" s="424">
        <f t="shared" si="3"/>
        <v>0</v>
      </c>
    </row>
    <row r="36" spans="1:14" ht="13.8" hidden="1">
      <c r="A36" s="425">
        <v>620</v>
      </c>
      <c r="B36" s="1443" t="s">
        <v>36</v>
      </c>
      <c r="C36" s="1444"/>
      <c r="D36" s="428">
        <v>2800</v>
      </c>
      <c r="E36" s="429" t="s">
        <v>45</v>
      </c>
      <c r="F36" s="430">
        <f t="shared" si="1"/>
        <v>129.23076923076923</v>
      </c>
      <c r="G36" s="431" t="s">
        <v>29</v>
      </c>
      <c r="H36" s="432"/>
      <c r="I36" s="433">
        <f t="shared" si="2"/>
        <v>0</v>
      </c>
      <c r="J36" s="434">
        <v>0</v>
      </c>
      <c r="K36" s="424">
        <f t="shared" si="3"/>
        <v>0</v>
      </c>
    </row>
    <row r="37" spans="1:14" ht="13.8" hidden="1">
      <c r="A37" s="425">
        <v>620</v>
      </c>
      <c r="B37" s="1443" t="s">
        <v>37</v>
      </c>
      <c r="C37" s="1444"/>
      <c r="D37" s="428">
        <v>2800</v>
      </c>
      <c r="E37" s="429" t="s">
        <v>45</v>
      </c>
      <c r="F37" s="430">
        <f t="shared" si="1"/>
        <v>129.23076923076923</v>
      </c>
      <c r="G37" s="431" t="s">
        <v>29</v>
      </c>
      <c r="H37" s="432"/>
      <c r="I37" s="433">
        <f t="shared" si="2"/>
        <v>0</v>
      </c>
      <c r="J37" s="434">
        <v>0</v>
      </c>
      <c r="K37" s="424">
        <f t="shared" si="3"/>
        <v>0</v>
      </c>
    </row>
    <row r="38" spans="1:14" ht="13.8" hidden="1">
      <c r="A38" s="425">
        <v>620</v>
      </c>
      <c r="B38" s="426" t="s">
        <v>16</v>
      </c>
      <c r="C38" s="427"/>
      <c r="D38" s="428">
        <v>2800</v>
      </c>
      <c r="E38" s="429" t="s">
        <v>45</v>
      </c>
      <c r="F38" s="430">
        <f t="shared" si="1"/>
        <v>129.23076923076923</v>
      </c>
      <c r="G38" s="431" t="s">
        <v>29</v>
      </c>
      <c r="H38" s="432"/>
      <c r="I38" s="433">
        <f t="shared" si="2"/>
        <v>0</v>
      </c>
      <c r="J38" s="434">
        <v>0</v>
      </c>
      <c r="K38" s="424">
        <f t="shared" si="3"/>
        <v>0</v>
      </c>
    </row>
    <row r="39" spans="1:14" ht="13.8" hidden="1">
      <c r="A39" s="425">
        <v>620</v>
      </c>
      <c r="B39" s="426" t="s">
        <v>19</v>
      </c>
      <c r="C39" s="427"/>
      <c r="D39" s="428">
        <v>2800</v>
      </c>
      <c r="E39" s="429" t="s">
        <v>45</v>
      </c>
      <c r="F39" s="430">
        <f t="shared" si="1"/>
        <v>129.23076923076923</v>
      </c>
      <c r="G39" s="431" t="s">
        <v>29</v>
      </c>
      <c r="H39" s="432"/>
      <c r="I39" s="433">
        <f t="shared" si="2"/>
        <v>0</v>
      </c>
      <c r="J39" s="434">
        <v>0</v>
      </c>
      <c r="K39" s="424">
        <f t="shared" si="3"/>
        <v>0</v>
      </c>
    </row>
    <row r="40" spans="1:14" ht="14.4" hidden="1" thickBot="1">
      <c r="A40" s="435">
        <v>620</v>
      </c>
      <c r="B40" s="436" t="s">
        <v>20</v>
      </c>
      <c r="C40" s="437"/>
      <c r="D40" s="438">
        <v>2800</v>
      </c>
      <c r="E40" s="439" t="s">
        <v>45</v>
      </c>
      <c r="F40" s="440">
        <f t="shared" si="1"/>
        <v>129.23076923076923</v>
      </c>
      <c r="G40" s="441" t="s">
        <v>29</v>
      </c>
      <c r="H40" s="442"/>
      <c r="I40" s="443">
        <f t="shared" si="2"/>
        <v>0</v>
      </c>
      <c r="J40" s="444">
        <v>0</v>
      </c>
      <c r="K40" s="424">
        <f t="shared" si="3"/>
        <v>0</v>
      </c>
    </row>
    <row r="41" spans="1:14" ht="16.2" thickBot="1">
      <c r="A41" s="445"/>
      <c r="B41" s="446"/>
      <c r="C41" s="447"/>
      <c r="D41" s="1457"/>
      <c r="E41" s="1457"/>
      <c r="F41" s="447"/>
      <c r="G41" s="448"/>
      <c r="H41" s="449"/>
      <c r="I41" s="450"/>
      <c r="J41" s="451" t="s">
        <v>90</v>
      </c>
      <c r="K41" s="452">
        <f>SUM(K31:K40)</f>
        <v>10022.307692307693</v>
      </c>
    </row>
    <row r="42" spans="1:14" ht="14.4" thickBot="1">
      <c r="A42" s="453"/>
      <c r="B42" s="454"/>
      <c r="C42" s="455"/>
      <c r="D42" s="455"/>
      <c r="E42" s="455"/>
      <c r="F42" s="455"/>
      <c r="G42" s="456"/>
      <c r="H42" s="457"/>
      <c r="I42" s="456"/>
      <c r="J42" s="456"/>
      <c r="K42" s="458"/>
    </row>
    <row r="43" spans="1:14" s="325" customFormat="1" ht="16.05" customHeight="1" thickBot="1">
      <c r="A43" s="459" t="s">
        <v>51</v>
      </c>
      <c r="B43" s="1467" t="s">
        <v>5</v>
      </c>
      <c r="C43" s="1468"/>
      <c r="D43" s="1469"/>
      <c r="E43" s="460" t="s">
        <v>6</v>
      </c>
      <c r="F43" s="127" t="s">
        <v>7</v>
      </c>
      <c r="G43" s="127" t="s">
        <v>6</v>
      </c>
      <c r="H43" s="128" t="s">
        <v>7</v>
      </c>
      <c r="I43" s="127" t="s">
        <v>33</v>
      </c>
      <c r="J43" s="461" t="s">
        <v>92</v>
      </c>
      <c r="K43" s="462"/>
      <c r="L43" s="323"/>
      <c r="N43" s="397"/>
    </row>
    <row r="44" spans="1:14" s="325" customFormat="1" ht="15" hidden="1" customHeight="1">
      <c r="A44" s="463">
        <v>610</v>
      </c>
      <c r="B44" s="1470" t="s">
        <v>50</v>
      </c>
      <c r="C44" s="1471"/>
      <c r="D44" s="1472"/>
      <c r="E44" s="464"/>
      <c r="F44" s="465">
        <v>1</v>
      </c>
      <c r="G44" s="465"/>
      <c r="H44" s="466">
        <v>1</v>
      </c>
      <c r="I44" s="467"/>
      <c r="J44" s="468">
        <f t="shared" ref="J44:J65" si="4">F44*H44*I44</f>
        <v>0</v>
      </c>
      <c r="K44" s="462"/>
      <c r="L44" s="323"/>
      <c r="N44" s="397"/>
    </row>
    <row r="45" spans="1:14" s="325" customFormat="1" ht="15" hidden="1" customHeight="1">
      <c r="A45" s="469"/>
      <c r="B45" s="1423"/>
      <c r="C45" s="1424"/>
      <c r="D45" s="1425"/>
      <c r="E45" s="470"/>
      <c r="F45" s="471">
        <v>1</v>
      </c>
      <c r="G45" s="471"/>
      <c r="H45" s="472">
        <v>1</v>
      </c>
      <c r="I45" s="473"/>
      <c r="J45" s="468">
        <f t="shared" si="4"/>
        <v>0</v>
      </c>
      <c r="K45" s="462"/>
      <c r="L45" s="323"/>
      <c r="N45" s="397"/>
    </row>
    <row r="46" spans="1:14" s="325" customFormat="1" ht="15" hidden="1" customHeight="1">
      <c r="A46" s="469">
        <v>611</v>
      </c>
      <c r="B46" s="1423" t="s">
        <v>46</v>
      </c>
      <c r="C46" s="1424"/>
      <c r="D46" s="1425"/>
      <c r="E46" s="470"/>
      <c r="F46" s="471">
        <v>1</v>
      </c>
      <c r="G46" s="471"/>
      <c r="H46" s="472">
        <v>1</v>
      </c>
      <c r="I46" s="473"/>
      <c r="J46" s="468">
        <f t="shared" si="4"/>
        <v>0</v>
      </c>
      <c r="K46" s="462"/>
      <c r="L46" s="323"/>
      <c r="N46" s="397"/>
    </row>
    <row r="47" spans="1:14" s="325" customFormat="1" ht="15" hidden="1" customHeight="1">
      <c r="A47" s="469"/>
      <c r="B47" s="1464"/>
      <c r="C47" s="1465"/>
      <c r="D47" s="1466"/>
      <c r="E47" s="470"/>
      <c r="F47" s="471">
        <v>1</v>
      </c>
      <c r="G47" s="471"/>
      <c r="H47" s="472">
        <v>1</v>
      </c>
      <c r="I47" s="473"/>
      <c r="J47" s="468">
        <f t="shared" si="4"/>
        <v>0</v>
      </c>
      <c r="K47" s="462"/>
      <c r="L47" s="323"/>
      <c r="N47" s="397"/>
    </row>
    <row r="48" spans="1:14" s="325" customFormat="1" ht="15" hidden="1" customHeight="1">
      <c r="A48" s="469">
        <v>612</v>
      </c>
      <c r="B48" s="1423" t="s">
        <v>56</v>
      </c>
      <c r="C48" s="1424"/>
      <c r="D48" s="1425"/>
      <c r="E48" s="474"/>
      <c r="F48" s="475">
        <v>1</v>
      </c>
      <c r="G48" s="475"/>
      <c r="H48" s="476">
        <v>1</v>
      </c>
      <c r="I48" s="477"/>
      <c r="J48" s="468">
        <f t="shared" si="4"/>
        <v>0</v>
      </c>
      <c r="K48" s="462"/>
      <c r="L48" s="323"/>
      <c r="N48" s="397"/>
    </row>
    <row r="49" spans="1:14" s="325" customFormat="1" ht="15" hidden="1" customHeight="1">
      <c r="A49" s="469"/>
      <c r="B49" s="1423"/>
      <c r="C49" s="1424"/>
      <c r="D49" s="1425"/>
      <c r="E49" s="474"/>
      <c r="F49" s="475">
        <v>1</v>
      </c>
      <c r="G49" s="475"/>
      <c r="H49" s="476">
        <v>1</v>
      </c>
      <c r="I49" s="477"/>
      <c r="J49" s="468">
        <f t="shared" si="4"/>
        <v>0</v>
      </c>
      <c r="K49" s="462"/>
      <c r="L49" s="323"/>
      <c r="N49" s="397"/>
    </row>
    <row r="50" spans="1:14" s="325" customFormat="1" ht="15" hidden="1" customHeight="1">
      <c r="A50" s="469">
        <v>613</v>
      </c>
      <c r="B50" s="1440" t="s">
        <v>47</v>
      </c>
      <c r="C50" s="1441"/>
      <c r="D50" s="1442"/>
      <c r="E50" s="474"/>
      <c r="F50" s="475">
        <v>1</v>
      </c>
      <c r="G50" s="475"/>
      <c r="H50" s="476">
        <v>1</v>
      </c>
      <c r="I50" s="477"/>
      <c r="J50" s="468">
        <f t="shared" si="4"/>
        <v>0</v>
      </c>
      <c r="K50" s="462"/>
      <c r="L50" s="323"/>
      <c r="N50" s="397"/>
    </row>
    <row r="51" spans="1:14" s="325" customFormat="1" ht="16.05" hidden="1" customHeight="1">
      <c r="A51" s="469"/>
      <c r="B51" s="1440"/>
      <c r="C51" s="1441"/>
      <c r="D51" s="1442"/>
      <c r="E51" s="474"/>
      <c r="F51" s="475">
        <v>1</v>
      </c>
      <c r="G51" s="475"/>
      <c r="H51" s="478">
        <v>1</v>
      </c>
      <c r="I51" s="479"/>
      <c r="J51" s="468">
        <f t="shared" si="4"/>
        <v>0</v>
      </c>
      <c r="K51" s="462"/>
      <c r="L51" s="323"/>
      <c r="N51" s="397"/>
    </row>
    <row r="52" spans="1:14" s="325" customFormat="1" ht="16.05" hidden="1" customHeight="1">
      <c r="A52" s="469">
        <v>614</v>
      </c>
      <c r="B52" s="1440" t="s">
        <v>10</v>
      </c>
      <c r="C52" s="1441"/>
      <c r="D52" s="1442"/>
      <c r="E52" s="474"/>
      <c r="F52" s="475">
        <v>1</v>
      </c>
      <c r="G52" s="475"/>
      <c r="H52" s="478">
        <v>1</v>
      </c>
      <c r="I52" s="479"/>
      <c r="J52" s="468">
        <f t="shared" si="4"/>
        <v>0</v>
      </c>
      <c r="K52" s="462"/>
      <c r="L52" s="323"/>
      <c r="N52" s="397"/>
    </row>
    <row r="53" spans="1:14" s="325" customFormat="1" ht="16.05" hidden="1" customHeight="1">
      <c r="A53" s="469"/>
      <c r="B53" s="1440"/>
      <c r="C53" s="1441"/>
      <c r="D53" s="1442"/>
      <c r="E53" s="474"/>
      <c r="F53" s="475">
        <v>1</v>
      </c>
      <c r="G53" s="475"/>
      <c r="H53" s="478">
        <v>1</v>
      </c>
      <c r="I53" s="479"/>
      <c r="J53" s="468">
        <f t="shared" si="4"/>
        <v>0</v>
      </c>
      <c r="K53" s="462"/>
      <c r="L53" s="323"/>
      <c r="N53" s="397"/>
    </row>
    <row r="54" spans="1:14" s="325" customFormat="1" ht="16.05" hidden="1" customHeight="1">
      <c r="A54" s="469">
        <v>615</v>
      </c>
      <c r="B54" s="1464" t="s">
        <v>48</v>
      </c>
      <c r="C54" s="1465"/>
      <c r="D54" s="1466"/>
      <c r="E54" s="474"/>
      <c r="F54" s="475">
        <v>1</v>
      </c>
      <c r="G54" s="475"/>
      <c r="H54" s="478">
        <v>1</v>
      </c>
      <c r="I54" s="479"/>
      <c r="J54" s="468">
        <f t="shared" si="4"/>
        <v>0</v>
      </c>
      <c r="K54" s="462"/>
      <c r="L54" s="323"/>
      <c r="N54" s="397"/>
    </row>
    <row r="55" spans="1:14" s="325" customFormat="1" ht="16.05" hidden="1" customHeight="1">
      <c r="A55" s="469"/>
      <c r="B55" s="1464"/>
      <c r="C55" s="1465"/>
      <c r="D55" s="1466"/>
      <c r="E55" s="474"/>
      <c r="F55" s="475">
        <v>1</v>
      </c>
      <c r="G55" s="475"/>
      <c r="H55" s="478">
        <v>1</v>
      </c>
      <c r="I55" s="479"/>
      <c r="J55" s="468">
        <f t="shared" si="4"/>
        <v>0</v>
      </c>
      <c r="K55" s="462"/>
      <c r="L55" s="323"/>
      <c r="N55" s="397"/>
    </row>
    <row r="56" spans="1:14" s="325" customFormat="1" ht="16.05" customHeight="1">
      <c r="A56" s="993">
        <v>616</v>
      </c>
      <c r="B56" s="1464" t="s">
        <v>41</v>
      </c>
      <c r="C56" s="1465"/>
      <c r="D56" s="1466"/>
      <c r="E56" s="474"/>
      <c r="F56" s="475">
        <v>1</v>
      </c>
      <c r="G56" s="475"/>
      <c r="H56" s="478">
        <v>1</v>
      </c>
      <c r="I56" s="479">
        <v>1500</v>
      </c>
      <c r="J56" s="468">
        <f t="shared" si="4"/>
        <v>1500</v>
      </c>
      <c r="K56" s="462"/>
      <c r="L56" s="323"/>
      <c r="N56" s="397"/>
    </row>
    <row r="57" spans="1:14" s="325" customFormat="1" ht="15.6" customHeight="1">
      <c r="A57" s="994"/>
      <c r="B57" s="1464" t="s">
        <v>121</v>
      </c>
      <c r="C57" s="1465"/>
      <c r="D57" s="1466"/>
      <c r="E57" s="474"/>
      <c r="F57" s="475">
        <v>1</v>
      </c>
      <c r="G57" s="475"/>
      <c r="H57" s="478">
        <v>21</v>
      </c>
      <c r="I57" s="479">
        <v>50</v>
      </c>
      <c r="J57" s="468">
        <f t="shared" si="4"/>
        <v>1050</v>
      </c>
      <c r="K57" s="462"/>
      <c r="L57" s="323"/>
      <c r="N57" s="397"/>
    </row>
    <row r="58" spans="1:14" s="325" customFormat="1" ht="15.6" customHeight="1">
      <c r="A58" s="507"/>
      <c r="B58" s="1464" t="s">
        <v>8</v>
      </c>
      <c r="C58" s="1465"/>
      <c r="D58" s="1466"/>
      <c r="E58" s="474"/>
      <c r="F58" s="475">
        <v>1</v>
      </c>
      <c r="G58" s="475"/>
      <c r="H58" s="478">
        <v>2</v>
      </c>
      <c r="I58" s="479">
        <v>1000</v>
      </c>
      <c r="J58" s="468">
        <f t="shared" si="4"/>
        <v>2000</v>
      </c>
      <c r="K58" s="462"/>
      <c r="L58" s="323"/>
      <c r="N58" s="397"/>
    </row>
    <row r="59" spans="1:14" s="325" customFormat="1" ht="15.6" hidden="1" customHeight="1">
      <c r="A59" s="993"/>
      <c r="B59" s="1464" t="s">
        <v>9</v>
      </c>
      <c r="C59" s="1465"/>
      <c r="D59" s="1466"/>
      <c r="E59" s="474"/>
      <c r="F59" s="475">
        <v>1</v>
      </c>
      <c r="G59" s="475"/>
      <c r="H59" s="478">
        <v>1</v>
      </c>
      <c r="I59" s="479"/>
      <c r="J59" s="468">
        <f t="shared" si="4"/>
        <v>0</v>
      </c>
      <c r="K59" s="462"/>
      <c r="L59" s="323"/>
      <c r="N59" s="397"/>
    </row>
    <row r="60" spans="1:14" s="325" customFormat="1" ht="15.6" customHeight="1" thickBot="1">
      <c r="A60" s="507"/>
      <c r="B60" s="1464" t="s">
        <v>40</v>
      </c>
      <c r="C60" s="1465"/>
      <c r="D60" s="1466"/>
      <c r="E60" s="474"/>
      <c r="F60" s="475">
        <v>1</v>
      </c>
      <c r="G60" s="475"/>
      <c r="H60" s="478">
        <v>1</v>
      </c>
      <c r="I60" s="479">
        <v>12000</v>
      </c>
      <c r="J60" s="468">
        <f t="shared" si="4"/>
        <v>12000</v>
      </c>
      <c r="K60" s="462"/>
      <c r="L60" s="323"/>
      <c r="N60" s="397" t="s">
        <v>120</v>
      </c>
    </row>
    <row r="61" spans="1:14" s="325" customFormat="1" ht="15.6" hidden="1" customHeight="1">
      <c r="A61" s="469"/>
      <c r="B61" s="1464"/>
      <c r="C61" s="1465"/>
      <c r="D61" s="1466"/>
      <c r="E61" s="474"/>
      <c r="F61" s="475">
        <v>1</v>
      </c>
      <c r="G61" s="475"/>
      <c r="H61" s="478">
        <v>1</v>
      </c>
      <c r="I61" s="479"/>
      <c r="J61" s="468">
        <f t="shared" si="4"/>
        <v>0</v>
      </c>
      <c r="K61" s="462"/>
      <c r="L61" s="323"/>
      <c r="N61" s="397"/>
    </row>
    <row r="62" spans="1:14" s="325" customFormat="1" ht="15" hidden="1" customHeight="1">
      <c r="A62" s="469">
        <v>619</v>
      </c>
      <c r="B62" s="1464" t="s">
        <v>49</v>
      </c>
      <c r="C62" s="1465"/>
      <c r="D62" s="1466"/>
      <c r="E62" s="474"/>
      <c r="F62" s="475">
        <v>1</v>
      </c>
      <c r="G62" s="475"/>
      <c r="H62" s="478">
        <v>1</v>
      </c>
      <c r="I62" s="479"/>
      <c r="J62" s="468">
        <f t="shared" si="4"/>
        <v>0</v>
      </c>
      <c r="K62" s="462"/>
      <c r="L62" s="323"/>
      <c r="N62" s="397"/>
    </row>
    <row r="63" spans="1:14" s="325" customFormat="1" ht="15" hidden="1" customHeight="1">
      <c r="A63" s="469"/>
      <c r="B63" s="1464" t="s">
        <v>42</v>
      </c>
      <c r="C63" s="1465"/>
      <c r="D63" s="1466"/>
      <c r="E63" s="480"/>
      <c r="F63" s="475">
        <v>1</v>
      </c>
      <c r="G63" s="475"/>
      <c r="H63" s="478">
        <v>1</v>
      </c>
      <c r="I63" s="479"/>
      <c r="J63" s="468">
        <f t="shared" si="4"/>
        <v>0</v>
      </c>
      <c r="K63" s="462"/>
      <c r="L63" s="323"/>
      <c r="N63" s="397"/>
    </row>
    <row r="64" spans="1:14" s="325" customFormat="1" ht="15" hidden="1" customHeight="1">
      <c r="A64" s="469"/>
      <c r="B64" s="1464"/>
      <c r="C64" s="1465"/>
      <c r="D64" s="1466"/>
      <c r="E64" s="480"/>
      <c r="F64" s="475">
        <v>1</v>
      </c>
      <c r="G64" s="475"/>
      <c r="H64" s="478">
        <v>1</v>
      </c>
      <c r="I64" s="479"/>
      <c r="J64" s="468">
        <f t="shared" si="4"/>
        <v>0</v>
      </c>
      <c r="K64" s="462"/>
      <c r="L64" s="323"/>
      <c r="N64" s="397"/>
    </row>
    <row r="65" spans="1:14" s="325" customFormat="1" ht="16.05" hidden="1" customHeight="1" thickBot="1">
      <c r="A65" s="481"/>
      <c r="B65" s="1461"/>
      <c r="C65" s="1462"/>
      <c r="D65" s="1463"/>
      <c r="E65" s="482"/>
      <c r="F65" s="483">
        <v>1</v>
      </c>
      <c r="G65" s="483"/>
      <c r="H65" s="484">
        <v>1</v>
      </c>
      <c r="I65" s="485"/>
      <c r="J65" s="468">
        <f t="shared" si="4"/>
        <v>0</v>
      </c>
      <c r="K65" s="462"/>
      <c r="L65" s="323"/>
      <c r="N65" s="397"/>
    </row>
    <row r="66" spans="1:14" s="325" customFormat="1" ht="16.95" customHeight="1" thickBot="1">
      <c r="A66" s="992"/>
      <c r="B66" s="486"/>
      <c r="C66" s="486"/>
      <c r="D66" s="486"/>
      <c r="E66" s="487"/>
      <c r="F66" s="488"/>
      <c r="G66" s="486"/>
      <c r="H66" s="489"/>
      <c r="I66" s="490" t="s">
        <v>90</v>
      </c>
      <c r="J66" s="491">
        <f>SUM(J44:J65)</f>
        <v>16550</v>
      </c>
      <c r="K66" s="492"/>
      <c r="L66" s="323"/>
      <c r="N66" s="397"/>
    </row>
    <row r="67" spans="1:14" ht="13.8">
      <c r="A67" s="493"/>
      <c r="B67" s="454"/>
      <c r="C67" s="455"/>
      <c r="D67" s="455"/>
      <c r="E67" s="455"/>
      <c r="F67" s="455"/>
      <c r="G67" s="456"/>
      <c r="H67" s="457"/>
      <c r="I67" s="456"/>
      <c r="J67" s="456"/>
      <c r="K67" s="456"/>
    </row>
    <row r="68" spans="1:14" ht="13.8" thickBot="1"/>
    <row r="69" spans="1:14" s="495" customFormat="1" ht="16.2" customHeight="1" thickBot="1">
      <c r="A69" s="1452" t="s">
        <v>124</v>
      </c>
      <c r="B69" s="1453"/>
      <c r="C69" s="1453"/>
      <c r="D69" s="1453"/>
      <c r="E69" s="1453"/>
      <c r="F69" s="1453"/>
      <c r="G69" s="1453"/>
      <c r="H69" s="1453"/>
      <c r="I69" s="1454" t="s">
        <v>93</v>
      </c>
      <c r="J69" s="1454"/>
      <c r="K69" s="494">
        <f>K82+J92</f>
        <v>23261.538461538461</v>
      </c>
      <c r="N69" s="496"/>
    </row>
    <row r="70" spans="1:14" ht="13.8" thickBot="1">
      <c r="A70" s="398"/>
      <c r="B70" s="399"/>
      <c r="C70" s="399"/>
      <c r="D70" s="399"/>
      <c r="E70" s="399"/>
      <c r="F70" s="399"/>
      <c r="G70" s="399"/>
      <c r="H70" s="399"/>
      <c r="I70" s="399"/>
      <c r="J70" s="399"/>
      <c r="K70" s="400"/>
    </row>
    <row r="71" spans="1:14" ht="14.4" thickBot="1">
      <c r="A71" s="401" t="s">
        <v>83</v>
      </c>
      <c r="B71" s="1455" t="s">
        <v>89</v>
      </c>
      <c r="C71" s="1456"/>
      <c r="D71" s="402" t="s">
        <v>43</v>
      </c>
      <c r="E71" s="403" t="s">
        <v>44</v>
      </c>
      <c r="F71" s="403" t="s">
        <v>82</v>
      </c>
      <c r="G71" s="403" t="s">
        <v>3</v>
      </c>
      <c r="H71" s="404" t="s">
        <v>4</v>
      </c>
      <c r="I71" s="404" t="s">
        <v>80</v>
      </c>
      <c r="J71" s="405" t="s">
        <v>84</v>
      </c>
      <c r="K71" s="406" t="s">
        <v>17</v>
      </c>
    </row>
    <row r="72" spans="1:14" ht="13.8">
      <c r="A72" s="497">
        <v>620</v>
      </c>
      <c r="B72" s="1443" t="s">
        <v>122</v>
      </c>
      <c r="C72" s="1444"/>
      <c r="D72" s="498">
        <v>2800</v>
      </c>
      <c r="E72" s="499" t="s">
        <v>45</v>
      </c>
      <c r="F72" s="500">
        <f t="shared" ref="F72:F81" si="5">IF(E72="5jours/sem", D72*3/13/5,IF(E72="6jours/sem",D72*3/13/6,""))</f>
        <v>129.23076923076923</v>
      </c>
      <c r="G72" s="501" t="s">
        <v>29</v>
      </c>
      <c r="H72" s="412">
        <f>J10</f>
        <v>30</v>
      </c>
      <c r="I72" s="502">
        <f t="shared" ref="I72:I81" si="6">IF(E72="",0,IF(G72="",0,IF(E72="5jours/sem",IF(G72="Jour",H72*D72*3/13/5,IF(G72="Semaine",H72*D72*3/13,IF(G72="Mois",H72*D72,0))),IF(E72="6jours/sem",IF(G72="Jour",H72*D72*3/13/6,IF(G72="Semaine",H72*D72*3/13,IF(G72="Mois",H72*D72,0)))))))</f>
        <v>3876.9230769230767</v>
      </c>
      <c r="J72" s="503">
        <v>0</v>
      </c>
      <c r="K72" s="415">
        <f t="shared" ref="K72:K81" si="7">I72*K$1+J72</f>
        <v>5815.3846153846152</v>
      </c>
    </row>
    <row r="73" spans="1:14" ht="13.8">
      <c r="A73" s="425">
        <v>620</v>
      </c>
      <c r="B73" s="1443" t="s">
        <v>122</v>
      </c>
      <c r="C73" s="1444"/>
      <c r="D73" s="428">
        <v>2800</v>
      </c>
      <c r="E73" s="429" t="s">
        <v>45</v>
      </c>
      <c r="F73" s="430">
        <f t="shared" si="5"/>
        <v>129.23076923076923</v>
      </c>
      <c r="G73" s="431" t="s">
        <v>29</v>
      </c>
      <c r="H73" s="421">
        <f>H72</f>
        <v>30</v>
      </c>
      <c r="I73" s="433">
        <f t="shared" si="6"/>
        <v>3876.9230769230767</v>
      </c>
      <c r="J73" s="434">
        <v>0</v>
      </c>
      <c r="K73" s="424">
        <f t="shared" si="7"/>
        <v>5815.3846153846152</v>
      </c>
    </row>
    <row r="74" spans="1:14" ht="13.8">
      <c r="A74" s="425">
        <v>620</v>
      </c>
      <c r="B74" s="1443" t="s">
        <v>123</v>
      </c>
      <c r="C74" s="1444"/>
      <c r="D74" s="428">
        <v>2800</v>
      </c>
      <c r="E74" s="429" t="s">
        <v>45</v>
      </c>
      <c r="F74" s="430">
        <f t="shared" si="5"/>
        <v>129.23076923076923</v>
      </c>
      <c r="G74" s="431" t="s">
        <v>29</v>
      </c>
      <c r="H74" s="421">
        <f>H73</f>
        <v>30</v>
      </c>
      <c r="I74" s="433">
        <f t="shared" si="6"/>
        <v>3876.9230769230767</v>
      </c>
      <c r="J74" s="434">
        <v>0</v>
      </c>
      <c r="K74" s="424">
        <f t="shared" si="7"/>
        <v>5815.3846153846152</v>
      </c>
    </row>
    <row r="75" spans="1:14" ht="14.4" thickBot="1">
      <c r="A75" s="425">
        <v>620</v>
      </c>
      <c r="B75" s="1443" t="s">
        <v>123</v>
      </c>
      <c r="C75" s="1444"/>
      <c r="D75" s="428">
        <v>2800</v>
      </c>
      <c r="E75" s="429" t="s">
        <v>45</v>
      </c>
      <c r="F75" s="430">
        <f t="shared" si="5"/>
        <v>129.23076923076923</v>
      </c>
      <c r="G75" s="431" t="s">
        <v>29</v>
      </c>
      <c r="H75" s="421">
        <f>H74</f>
        <v>30</v>
      </c>
      <c r="I75" s="433">
        <f t="shared" si="6"/>
        <v>3876.9230769230767</v>
      </c>
      <c r="J75" s="434">
        <v>0</v>
      </c>
      <c r="K75" s="424">
        <f t="shared" si="7"/>
        <v>5815.3846153846152</v>
      </c>
    </row>
    <row r="76" spans="1:14" ht="13.8" hidden="1">
      <c r="A76" s="425">
        <v>620</v>
      </c>
      <c r="B76" s="1443"/>
      <c r="C76" s="1444"/>
      <c r="D76" s="428">
        <v>2800</v>
      </c>
      <c r="E76" s="429" t="s">
        <v>45</v>
      </c>
      <c r="F76" s="430">
        <f t="shared" si="5"/>
        <v>129.23076923076923</v>
      </c>
      <c r="G76" s="431" t="s">
        <v>29</v>
      </c>
      <c r="H76" s="432"/>
      <c r="I76" s="433">
        <f t="shared" si="6"/>
        <v>0</v>
      </c>
      <c r="J76" s="434">
        <v>0</v>
      </c>
      <c r="K76" s="424">
        <f t="shared" si="7"/>
        <v>0</v>
      </c>
    </row>
    <row r="77" spans="1:14" ht="13.8" hidden="1">
      <c r="A77" s="425">
        <v>620</v>
      </c>
      <c r="B77" s="1443"/>
      <c r="C77" s="1444"/>
      <c r="D77" s="428">
        <v>2800</v>
      </c>
      <c r="E77" s="429" t="s">
        <v>45</v>
      </c>
      <c r="F77" s="430">
        <f t="shared" si="5"/>
        <v>129.23076923076923</v>
      </c>
      <c r="G77" s="431" t="s">
        <v>29</v>
      </c>
      <c r="H77" s="432"/>
      <c r="I77" s="433">
        <f t="shared" si="6"/>
        <v>0</v>
      </c>
      <c r="J77" s="434">
        <v>0</v>
      </c>
      <c r="K77" s="424">
        <f t="shared" si="7"/>
        <v>0</v>
      </c>
    </row>
    <row r="78" spans="1:14" ht="13.8" hidden="1">
      <c r="A78" s="425">
        <v>620</v>
      </c>
      <c r="B78" s="1443"/>
      <c r="C78" s="1444"/>
      <c r="D78" s="428">
        <v>2800</v>
      </c>
      <c r="E78" s="429" t="s">
        <v>45</v>
      </c>
      <c r="F78" s="430">
        <f t="shared" si="5"/>
        <v>129.23076923076923</v>
      </c>
      <c r="G78" s="431" t="s">
        <v>29</v>
      </c>
      <c r="H78" s="432"/>
      <c r="I78" s="433">
        <f t="shared" si="6"/>
        <v>0</v>
      </c>
      <c r="J78" s="434">
        <v>0</v>
      </c>
      <c r="K78" s="424">
        <f t="shared" si="7"/>
        <v>0</v>
      </c>
    </row>
    <row r="79" spans="1:14" ht="13.8" hidden="1">
      <c r="A79" s="425">
        <v>620</v>
      </c>
      <c r="B79" s="1443"/>
      <c r="C79" s="1444"/>
      <c r="D79" s="428">
        <v>2800</v>
      </c>
      <c r="E79" s="429" t="s">
        <v>45</v>
      </c>
      <c r="F79" s="430">
        <f t="shared" si="5"/>
        <v>129.23076923076923</v>
      </c>
      <c r="G79" s="431" t="s">
        <v>29</v>
      </c>
      <c r="H79" s="432"/>
      <c r="I79" s="433">
        <f t="shared" si="6"/>
        <v>0</v>
      </c>
      <c r="J79" s="434">
        <v>0</v>
      </c>
      <c r="K79" s="424">
        <f t="shared" si="7"/>
        <v>0</v>
      </c>
    </row>
    <row r="80" spans="1:14" ht="13.8" hidden="1">
      <c r="A80" s="425">
        <v>620</v>
      </c>
      <c r="B80" s="1443"/>
      <c r="C80" s="1444"/>
      <c r="D80" s="428">
        <v>2800</v>
      </c>
      <c r="E80" s="429" t="s">
        <v>45</v>
      </c>
      <c r="F80" s="430">
        <f t="shared" si="5"/>
        <v>129.23076923076923</v>
      </c>
      <c r="G80" s="431" t="s">
        <v>29</v>
      </c>
      <c r="H80" s="432"/>
      <c r="I80" s="433">
        <f t="shared" si="6"/>
        <v>0</v>
      </c>
      <c r="J80" s="434">
        <v>0</v>
      </c>
      <c r="K80" s="424">
        <f t="shared" si="7"/>
        <v>0</v>
      </c>
    </row>
    <row r="81" spans="1:11" ht="14.4" hidden="1" thickBot="1">
      <c r="A81" s="435">
        <v>620</v>
      </c>
      <c r="B81" s="1445"/>
      <c r="C81" s="1446"/>
      <c r="D81" s="438">
        <v>2800</v>
      </c>
      <c r="E81" s="439" t="s">
        <v>45</v>
      </c>
      <c r="F81" s="440">
        <f t="shared" si="5"/>
        <v>129.23076923076923</v>
      </c>
      <c r="G81" s="441" t="s">
        <v>29</v>
      </c>
      <c r="H81" s="442"/>
      <c r="I81" s="443">
        <f t="shared" si="6"/>
        <v>0</v>
      </c>
      <c r="J81" s="444">
        <v>0</v>
      </c>
      <c r="K81" s="504">
        <f t="shared" si="7"/>
        <v>0</v>
      </c>
    </row>
    <row r="82" spans="1:11" ht="16.2" thickBot="1">
      <c r="A82" s="445"/>
      <c r="B82" s="446"/>
      <c r="C82" s="447"/>
      <c r="D82" s="1457"/>
      <c r="E82" s="1457"/>
      <c r="F82" s="447"/>
      <c r="G82" s="448"/>
      <c r="H82" s="995"/>
      <c r="I82" s="1448" t="s">
        <v>94</v>
      </c>
      <c r="J82" s="1449"/>
      <c r="K82" s="505">
        <f>SUM(K72:K81)</f>
        <v>23261.538461538461</v>
      </c>
    </row>
    <row r="83" spans="1:11" ht="14.4" hidden="1" customHeight="1" thickBot="1">
      <c r="A83" s="398"/>
      <c r="B83" s="399"/>
      <c r="C83" s="399"/>
      <c r="D83" s="399"/>
      <c r="E83" s="399"/>
      <c r="F83" s="399"/>
      <c r="G83" s="399"/>
      <c r="H83" s="399"/>
      <c r="I83" s="399"/>
      <c r="J83" s="399"/>
      <c r="K83" s="400"/>
    </row>
    <row r="84" spans="1:11" ht="14.4" hidden="1" thickBot="1">
      <c r="A84" s="459" t="s">
        <v>51</v>
      </c>
      <c r="B84" s="1434" t="s">
        <v>88</v>
      </c>
      <c r="C84" s="1435"/>
      <c r="D84" s="1436"/>
      <c r="E84" s="460" t="s">
        <v>6</v>
      </c>
      <c r="F84" s="127" t="s">
        <v>7</v>
      </c>
      <c r="G84" s="127" t="s">
        <v>6</v>
      </c>
      <c r="H84" s="128" t="s">
        <v>7</v>
      </c>
      <c r="I84" s="127" t="s">
        <v>33</v>
      </c>
      <c r="J84" s="506" t="s">
        <v>92</v>
      </c>
      <c r="K84" s="400"/>
    </row>
    <row r="85" spans="1:11" ht="13.8" hidden="1">
      <c r="A85" s="507">
        <v>610</v>
      </c>
      <c r="B85" s="1437" t="s">
        <v>53</v>
      </c>
      <c r="C85" s="1438"/>
      <c r="D85" s="1439"/>
      <c r="E85" s="508"/>
      <c r="F85" s="509">
        <v>1</v>
      </c>
      <c r="G85" s="508"/>
      <c r="H85" s="510">
        <v>1</v>
      </c>
      <c r="I85" s="473"/>
      <c r="J85" s="511">
        <f t="shared" ref="J85:J91" si="8">F85*H85*I85</f>
        <v>0</v>
      </c>
      <c r="K85" s="400"/>
    </row>
    <row r="86" spans="1:11" ht="13.8" hidden="1">
      <c r="A86" s="507">
        <v>611</v>
      </c>
      <c r="B86" s="1423" t="s">
        <v>11</v>
      </c>
      <c r="C86" s="1424"/>
      <c r="D86" s="1425"/>
      <c r="E86" s="508"/>
      <c r="F86" s="509">
        <v>1</v>
      </c>
      <c r="G86" s="508"/>
      <c r="H86" s="510">
        <v>1</v>
      </c>
      <c r="I86" s="473"/>
      <c r="J86" s="511">
        <f t="shared" si="8"/>
        <v>0</v>
      </c>
      <c r="K86" s="400"/>
    </row>
    <row r="87" spans="1:11" ht="13.8" hidden="1">
      <c r="A87" s="469">
        <v>611</v>
      </c>
      <c r="B87" s="1423" t="s">
        <v>12</v>
      </c>
      <c r="C87" s="1424"/>
      <c r="D87" s="1425"/>
      <c r="E87" s="512"/>
      <c r="F87" s="509">
        <v>1</v>
      </c>
      <c r="G87" s="512"/>
      <c r="H87" s="478">
        <v>1</v>
      </c>
      <c r="I87" s="477"/>
      <c r="J87" s="513">
        <f t="shared" si="8"/>
        <v>0</v>
      </c>
      <c r="K87" s="400"/>
    </row>
    <row r="88" spans="1:11" ht="13.8" hidden="1">
      <c r="A88" s="469">
        <v>613</v>
      </c>
      <c r="B88" s="1440" t="s">
        <v>14</v>
      </c>
      <c r="C88" s="1441"/>
      <c r="D88" s="1442"/>
      <c r="E88" s="512"/>
      <c r="F88" s="509">
        <v>1</v>
      </c>
      <c r="G88" s="512"/>
      <c r="H88" s="478">
        <v>1</v>
      </c>
      <c r="I88" s="479"/>
      <c r="J88" s="513">
        <f t="shared" si="8"/>
        <v>0</v>
      </c>
      <c r="K88" s="400"/>
    </row>
    <row r="89" spans="1:11" ht="13.8" hidden="1">
      <c r="A89" s="469">
        <v>613</v>
      </c>
      <c r="B89" s="1440" t="s">
        <v>13</v>
      </c>
      <c r="C89" s="1441"/>
      <c r="D89" s="1442"/>
      <c r="E89" s="512"/>
      <c r="F89" s="509">
        <v>1</v>
      </c>
      <c r="G89" s="512"/>
      <c r="H89" s="478">
        <v>1</v>
      </c>
      <c r="I89" s="479"/>
      <c r="J89" s="513">
        <f t="shared" si="8"/>
        <v>0</v>
      </c>
      <c r="K89" s="400"/>
    </row>
    <row r="90" spans="1:11" ht="13.8" hidden="1">
      <c r="A90" s="469">
        <v>613</v>
      </c>
      <c r="B90" s="1423" t="s">
        <v>15</v>
      </c>
      <c r="C90" s="1424"/>
      <c r="D90" s="1425"/>
      <c r="E90" s="512"/>
      <c r="F90" s="509">
        <v>1</v>
      </c>
      <c r="G90" s="512"/>
      <c r="H90" s="478">
        <v>1</v>
      </c>
      <c r="I90" s="477"/>
      <c r="J90" s="513">
        <f t="shared" si="8"/>
        <v>0</v>
      </c>
      <c r="K90" s="400"/>
    </row>
    <row r="91" spans="1:11" ht="14.4" hidden="1" thickBot="1">
      <c r="A91" s="514"/>
      <c r="B91" s="1426"/>
      <c r="C91" s="1427"/>
      <c r="D91" s="1428"/>
      <c r="E91" s="515"/>
      <c r="F91" s="509">
        <v>1</v>
      </c>
      <c r="G91" s="516"/>
      <c r="H91" s="484">
        <v>1</v>
      </c>
      <c r="I91" s="517"/>
      <c r="J91" s="518">
        <f t="shared" si="8"/>
        <v>0</v>
      </c>
      <c r="K91" s="400"/>
    </row>
    <row r="92" spans="1:11" ht="14.4" hidden="1" thickBot="1">
      <c r="A92" s="519"/>
      <c r="B92" s="486"/>
      <c r="C92" s="486"/>
      <c r="D92" s="486"/>
      <c r="E92" s="487"/>
      <c r="F92" s="488"/>
      <c r="G92" s="486"/>
      <c r="H92" s="489"/>
      <c r="I92" s="451" t="s">
        <v>95</v>
      </c>
      <c r="J92" s="520">
        <f>SUM(J85:J91)</f>
        <v>0</v>
      </c>
      <c r="K92" s="521"/>
    </row>
    <row r="93" spans="1:11" ht="13.8" thickBot="1"/>
    <row r="94" spans="1:11" ht="16.2" thickBot="1">
      <c r="A94" s="1452" t="s">
        <v>125</v>
      </c>
      <c r="B94" s="1453"/>
      <c r="C94" s="1453"/>
      <c r="D94" s="1453"/>
      <c r="E94" s="1453"/>
      <c r="F94" s="1453"/>
      <c r="G94" s="1453"/>
      <c r="H94" s="1453"/>
      <c r="I94" s="1454" t="s">
        <v>93</v>
      </c>
      <c r="J94" s="1454"/>
      <c r="K94" s="494">
        <f>K107+J117</f>
        <v>2438.4615384615381</v>
      </c>
    </row>
    <row r="95" spans="1:11" ht="13.8" thickBot="1">
      <c r="A95" s="398"/>
      <c r="B95" s="399"/>
      <c r="C95" s="399"/>
      <c r="D95" s="399"/>
      <c r="E95" s="399"/>
      <c r="F95" s="399"/>
      <c r="G95" s="399"/>
      <c r="H95" s="399"/>
      <c r="I95" s="399"/>
      <c r="J95" s="399"/>
      <c r="K95" s="400"/>
    </row>
    <row r="96" spans="1:11" ht="14.4" thickBot="1">
      <c r="A96" s="401" t="s">
        <v>83</v>
      </c>
      <c r="B96" s="1455" t="s">
        <v>89</v>
      </c>
      <c r="C96" s="1456"/>
      <c r="D96" s="402" t="s">
        <v>43</v>
      </c>
      <c r="E96" s="403" t="s">
        <v>44</v>
      </c>
      <c r="F96" s="403" t="s">
        <v>82</v>
      </c>
      <c r="G96" s="403" t="s">
        <v>3</v>
      </c>
      <c r="H96" s="404" t="s">
        <v>4</v>
      </c>
      <c r="I96" s="404" t="s">
        <v>80</v>
      </c>
      <c r="J96" s="405" t="s">
        <v>84</v>
      </c>
      <c r="K96" s="406" t="s">
        <v>17</v>
      </c>
    </row>
    <row r="97" spans="1:11" ht="13.8">
      <c r="A97" s="497">
        <v>620</v>
      </c>
      <c r="B97" s="1443" t="s">
        <v>122</v>
      </c>
      <c r="C97" s="1444"/>
      <c r="D97" s="498">
        <v>2800</v>
      </c>
      <c r="E97" s="499" t="s">
        <v>45</v>
      </c>
      <c r="F97" s="500">
        <f t="shared" ref="F97:F106" si="9">IF(E97="5jours/sem", D97*3/13/5,IF(E97="6jours/sem",D97*3/13/6,""))</f>
        <v>129.23076923076923</v>
      </c>
      <c r="G97" s="501" t="s">
        <v>29</v>
      </c>
      <c r="H97" s="412">
        <f>J12</f>
        <v>2</v>
      </c>
      <c r="I97" s="502">
        <f t="shared" ref="I97:I106" si="10">IF(E97="",0,IF(G97="",0,IF(E97="5jours/sem",IF(G97="Jour",H97*D97*3/13/5,IF(G97="Semaine",H97*D97*3/13,IF(G97="Mois",H97*D97,0))),IF(E97="6jours/sem",IF(G97="Jour",H97*D97*3/13/6,IF(G97="Semaine",H97*D97*3/13,IF(G97="Mois",H97*D97,0)))))))</f>
        <v>258.46153846153845</v>
      </c>
      <c r="J97" s="503">
        <v>0</v>
      </c>
      <c r="K97" s="415">
        <f t="shared" ref="K97:K106" si="11">I97*K$1+J97</f>
        <v>387.69230769230768</v>
      </c>
    </row>
    <row r="98" spans="1:11" ht="13.8">
      <c r="A98" s="425">
        <v>620</v>
      </c>
      <c r="B98" s="1443" t="s">
        <v>122</v>
      </c>
      <c r="C98" s="1444"/>
      <c r="D98" s="428">
        <v>2800</v>
      </c>
      <c r="E98" s="429" t="s">
        <v>45</v>
      </c>
      <c r="F98" s="430">
        <f t="shared" si="9"/>
        <v>129.23076923076923</v>
      </c>
      <c r="G98" s="431" t="s">
        <v>29</v>
      </c>
      <c r="H98" s="421">
        <f>H97</f>
        <v>2</v>
      </c>
      <c r="I98" s="433">
        <f t="shared" si="10"/>
        <v>258.46153846153845</v>
      </c>
      <c r="J98" s="434">
        <v>0</v>
      </c>
      <c r="K98" s="424">
        <f t="shared" si="11"/>
        <v>387.69230769230768</v>
      </c>
    </row>
    <row r="99" spans="1:11" ht="13.8">
      <c r="A99" s="425">
        <v>620</v>
      </c>
      <c r="B99" s="1443" t="s">
        <v>123</v>
      </c>
      <c r="C99" s="1444"/>
      <c r="D99" s="428">
        <v>2800</v>
      </c>
      <c r="E99" s="429" t="s">
        <v>45</v>
      </c>
      <c r="F99" s="430">
        <f t="shared" si="9"/>
        <v>129.23076923076923</v>
      </c>
      <c r="G99" s="431" t="s">
        <v>29</v>
      </c>
      <c r="H99" s="421">
        <f>H98</f>
        <v>2</v>
      </c>
      <c r="I99" s="433">
        <f t="shared" si="10"/>
        <v>258.46153846153845</v>
      </c>
      <c r="J99" s="434">
        <v>0</v>
      </c>
      <c r="K99" s="424">
        <f t="shared" si="11"/>
        <v>387.69230769230768</v>
      </c>
    </row>
    <row r="100" spans="1:11" ht="13.8">
      <c r="A100" s="425">
        <v>620</v>
      </c>
      <c r="B100" s="1443" t="s">
        <v>123</v>
      </c>
      <c r="C100" s="1444"/>
      <c r="D100" s="428">
        <v>2800</v>
      </c>
      <c r="E100" s="429" t="s">
        <v>45</v>
      </c>
      <c r="F100" s="430">
        <f t="shared" si="9"/>
        <v>129.23076923076923</v>
      </c>
      <c r="G100" s="431" t="s">
        <v>29</v>
      </c>
      <c r="H100" s="421">
        <f>H99</f>
        <v>2</v>
      </c>
      <c r="I100" s="433">
        <f t="shared" si="10"/>
        <v>258.46153846153845</v>
      </c>
      <c r="J100" s="434">
        <v>0</v>
      </c>
      <c r="K100" s="424">
        <f t="shared" si="11"/>
        <v>387.69230769230768</v>
      </c>
    </row>
    <row r="101" spans="1:11" ht="14.4" thickBot="1">
      <c r="A101" s="425">
        <v>620</v>
      </c>
      <c r="B101" s="1443" t="s">
        <v>126</v>
      </c>
      <c r="C101" s="1444"/>
      <c r="D101" s="428">
        <v>2800</v>
      </c>
      <c r="E101" s="429" t="s">
        <v>45</v>
      </c>
      <c r="F101" s="430">
        <f t="shared" si="9"/>
        <v>129.23076923076923</v>
      </c>
      <c r="G101" s="431" t="s">
        <v>29</v>
      </c>
      <c r="H101" s="421">
        <f>H100</f>
        <v>2</v>
      </c>
      <c r="I101" s="433">
        <f t="shared" si="10"/>
        <v>258.46153846153845</v>
      </c>
      <c r="J101" s="434">
        <v>0</v>
      </c>
      <c r="K101" s="424">
        <f t="shared" si="11"/>
        <v>387.69230769230768</v>
      </c>
    </row>
    <row r="102" spans="1:11" ht="13.8" hidden="1">
      <c r="A102" s="425">
        <v>620</v>
      </c>
      <c r="B102" s="1443"/>
      <c r="C102" s="1444"/>
      <c r="D102" s="428">
        <v>2800</v>
      </c>
      <c r="E102" s="429" t="s">
        <v>45</v>
      </c>
      <c r="F102" s="430">
        <f t="shared" si="9"/>
        <v>129.23076923076923</v>
      </c>
      <c r="G102" s="431" t="s">
        <v>29</v>
      </c>
      <c r="H102" s="432"/>
      <c r="I102" s="433">
        <f t="shared" si="10"/>
        <v>0</v>
      </c>
      <c r="J102" s="434">
        <v>0</v>
      </c>
      <c r="K102" s="424">
        <f t="shared" si="11"/>
        <v>0</v>
      </c>
    </row>
    <row r="103" spans="1:11" ht="13.8" hidden="1">
      <c r="A103" s="425">
        <v>620</v>
      </c>
      <c r="B103" s="1443"/>
      <c r="C103" s="1444"/>
      <c r="D103" s="428">
        <v>2800</v>
      </c>
      <c r="E103" s="429" t="s">
        <v>45</v>
      </c>
      <c r="F103" s="430">
        <f t="shared" si="9"/>
        <v>129.23076923076923</v>
      </c>
      <c r="G103" s="431" t="s">
        <v>29</v>
      </c>
      <c r="H103" s="432"/>
      <c r="I103" s="433">
        <f t="shared" si="10"/>
        <v>0</v>
      </c>
      <c r="J103" s="434">
        <v>0</v>
      </c>
      <c r="K103" s="424">
        <f t="shared" si="11"/>
        <v>0</v>
      </c>
    </row>
    <row r="104" spans="1:11" ht="13.8" hidden="1">
      <c r="A104" s="425">
        <v>620</v>
      </c>
      <c r="B104" s="1443"/>
      <c r="C104" s="1444"/>
      <c r="D104" s="428">
        <v>2800</v>
      </c>
      <c r="E104" s="429" t="s">
        <v>45</v>
      </c>
      <c r="F104" s="430">
        <f t="shared" si="9"/>
        <v>129.23076923076923</v>
      </c>
      <c r="G104" s="431" t="s">
        <v>29</v>
      </c>
      <c r="H104" s="432"/>
      <c r="I104" s="433">
        <f t="shared" si="10"/>
        <v>0</v>
      </c>
      <c r="J104" s="434">
        <v>0</v>
      </c>
      <c r="K104" s="424">
        <f t="shared" si="11"/>
        <v>0</v>
      </c>
    </row>
    <row r="105" spans="1:11" ht="13.8" hidden="1">
      <c r="A105" s="425">
        <v>620</v>
      </c>
      <c r="B105" s="1443"/>
      <c r="C105" s="1444"/>
      <c r="D105" s="428">
        <v>2800</v>
      </c>
      <c r="E105" s="429" t="s">
        <v>45</v>
      </c>
      <c r="F105" s="430">
        <f t="shared" si="9"/>
        <v>129.23076923076923</v>
      </c>
      <c r="G105" s="431" t="s">
        <v>29</v>
      </c>
      <c r="H105" s="432"/>
      <c r="I105" s="433">
        <f t="shared" si="10"/>
        <v>0</v>
      </c>
      <c r="J105" s="434">
        <v>0</v>
      </c>
      <c r="K105" s="424">
        <f t="shared" si="11"/>
        <v>0</v>
      </c>
    </row>
    <row r="106" spans="1:11" ht="14.4" hidden="1" thickBot="1">
      <c r="A106" s="435">
        <v>620</v>
      </c>
      <c r="B106" s="1445"/>
      <c r="C106" s="1446"/>
      <c r="D106" s="438">
        <v>2800</v>
      </c>
      <c r="E106" s="439" t="s">
        <v>45</v>
      </c>
      <c r="F106" s="440">
        <f t="shared" si="9"/>
        <v>129.23076923076923</v>
      </c>
      <c r="G106" s="441" t="s">
        <v>29</v>
      </c>
      <c r="H106" s="442"/>
      <c r="I106" s="443">
        <f t="shared" si="10"/>
        <v>0</v>
      </c>
      <c r="J106" s="444">
        <v>0</v>
      </c>
      <c r="K106" s="504">
        <f t="shared" si="11"/>
        <v>0</v>
      </c>
    </row>
    <row r="107" spans="1:11" ht="16.2" thickBot="1">
      <c r="A107" s="445"/>
      <c r="B107" s="446"/>
      <c r="C107" s="447"/>
      <c r="D107" s="1457"/>
      <c r="E107" s="1457"/>
      <c r="F107" s="447"/>
      <c r="G107" s="448"/>
      <c r="H107" s="995"/>
      <c r="I107" s="1448" t="s">
        <v>94</v>
      </c>
      <c r="J107" s="1449"/>
      <c r="K107" s="505">
        <f>SUM(K97:K106)</f>
        <v>1938.4615384615383</v>
      </c>
    </row>
    <row r="108" spans="1:11" ht="13.8" thickBot="1">
      <c r="A108" s="398"/>
      <c r="B108" s="399"/>
      <c r="C108" s="399"/>
      <c r="D108" s="399"/>
      <c r="E108" s="399"/>
      <c r="F108" s="399"/>
      <c r="G108" s="399"/>
      <c r="H108" s="399"/>
      <c r="I108" s="399"/>
      <c r="J108" s="399"/>
      <c r="K108" s="400"/>
    </row>
    <row r="109" spans="1:11" ht="14.4" thickBot="1">
      <c r="A109" s="459" t="s">
        <v>51</v>
      </c>
      <c r="B109" s="1434" t="s">
        <v>88</v>
      </c>
      <c r="C109" s="1435"/>
      <c r="D109" s="1436"/>
      <c r="E109" s="460" t="s">
        <v>6</v>
      </c>
      <c r="F109" s="127" t="s">
        <v>7</v>
      </c>
      <c r="G109" s="127" t="s">
        <v>6</v>
      </c>
      <c r="H109" s="128" t="s">
        <v>7</v>
      </c>
      <c r="I109" s="127" t="s">
        <v>33</v>
      </c>
      <c r="J109" s="506" t="s">
        <v>92</v>
      </c>
      <c r="K109" s="400"/>
    </row>
    <row r="110" spans="1:11" ht="14.4" thickBot="1">
      <c r="A110" s="507">
        <v>610</v>
      </c>
      <c r="B110" s="1437" t="s">
        <v>129</v>
      </c>
      <c r="C110" s="1438"/>
      <c r="D110" s="1439"/>
      <c r="E110" s="508"/>
      <c r="F110" s="509">
        <v>1</v>
      </c>
      <c r="G110" s="508" t="s">
        <v>128</v>
      </c>
      <c r="H110" s="510">
        <v>2</v>
      </c>
      <c r="I110" s="473">
        <v>250</v>
      </c>
      <c r="J110" s="511">
        <f t="shared" ref="J110:J116" si="12">F110*H110*I110</f>
        <v>500</v>
      </c>
      <c r="K110" s="400"/>
    </row>
    <row r="111" spans="1:11" ht="13.8" hidden="1">
      <c r="A111" s="507">
        <v>611</v>
      </c>
      <c r="B111" s="1423" t="s">
        <v>11</v>
      </c>
      <c r="C111" s="1424"/>
      <c r="D111" s="1425"/>
      <c r="E111" s="508"/>
      <c r="F111" s="509">
        <v>1</v>
      </c>
      <c r="G111" s="508"/>
      <c r="H111" s="510">
        <v>1</v>
      </c>
      <c r="I111" s="473"/>
      <c r="J111" s="511">
        <f t="shared" si="12"/>
        <v>0</v>
      </c>
      <c r="K111" s="400"/>
    </row>
    <row r="112" spans="1:11" ht="13.8" hidden="1">
      <c r="A112" s="469">
        <v>611</v>
      </c>
      <c r="B112" s="1423" t="s">
        <v>12</v>
      </c>
      <c r="C112" s="1424"/>
      <c r="D112" s="1425"/>
      <c r="E112" s="512"/>
      <c r="F112" s="509">
        <v>1</v>
      </c>
      <c r="G112" s="512"/>
      <c r="H112" s="478">
        <v>1</v>
      </c>
      <c r="I112" s="477"/>
      <c r="J112" s="513">
        <f t="shared" si="12"/>
        <v>0</v>
      </c>
      <c r="K112" s="400"/>
    </row>
    <row r="113" spans="1:11" ht="13.8" hidden="1">
      <c r="A113" s="469">
        <v>613</v>
      </c>
      <c r="B113" s="1440" t="s">
        <v>14</v>
      </c>
      <c r="C113" s="1441"/>
      <c r="D113" s="1442"/>
      <c r="E113" s="512"/>
      <c r="F113" s="509">
        <v>1</v>
      </c>
      <c r="G113" s="512"/>
      <c r="H113" s="478">
        <v>1</v>
      </c>
      <c r="I113" s="479"/>
      <c r="J113" s="513">
        <f t="shared" si="12"/>
        <v>0</v>
      </c>
      <c r="K113" s="400"/>
    </row>
    <row r="114" spans="1:11" ht="13.8" hidden="1">
      <c r="A114" s="469">
        <v>613</v>
      </c>
      <c r="B114" s="1440" t="s">
        <v>13</v>
      </c>
      <c r="C114" s="1441"/>
      <c r="D114" s="1442"/>
      <c r="E114" s="512"/>
      <c r="F114" s="509">
        <v>1</v>
      </c>
      <c r="G114" s="512"/>
      <c r="H114" s="478">
        <v>1</v>
      </c>
      <c r="I114" s="479"/>
      <c r="J114" s="513">
        <f t="shared" si="12"/>
        <v>0</v>
      </c>
      <c r="K114" s="400"/>
    </row>
    <row r="115" spans="1:11" ht="13.8" hidden="1">
      <c r="A115" s="469">
        <v>613</v>
      </c>
      <c r="B115" s="1423" t="s">
        <v>15</v>
      </c>
      <c r="C115" s="1424"/>
      <c r="D115" s="1425"/>
      <c r="E115" s="512"/>
      <c r="F115" s="509">
        <v>1</v>
      </c>
      <c r="G115" s="512"/>
      <c r="H115" s="478">
        <v>1</v>
      </c>
      <c r="I115" s="477"/>
      <c r="J115" s="513">
        <f t="shared" si="12"/>
        <v>0</v>
      </c>
      <c r="K115" s="400"/>
    </row>
    <row r="116" spans="1:11" ht="14.4" hidden="1" thickBot="1">
      <c r="A116" s="994"/>
      <c r="B116" s="1458"/>
      <c r="C116" s="1459"/>
      <c r="D116" s="1460"/>
      <c r="E116" s="996"/>
      <c r="F116" s="997">
        <v>1</v>
      </c>
      <c r="G116" s="998"/>
      <c r="H116" s="999">
        <v>1</v>
      </c>
      <c r="I116" s="517"/>
      <c r="J116" s="518">
        <f t="shared" si="12"/>
        <v>0</v>
      </c>
      <c r="K116" s="400"/>
    </row>
    <row r="117" spans="1:11" ht="14.4" thickBot="1">
      <c r="A117" s="1000"/>
      <c r="B117" s="1001"/>
      <c r="C117" s="1001"/>
      <c r="D117" s="1001"/>
      <c r="E117" s="1002"/>
      <c r="F117" s="1003"/>
      <c r="G117" s="1001"/>
      <c r="H117" s="1004"/>
      <c r="I117" s="451" t="s">
        <v>95</v>
      </c>
      <c r="J117" s="520">
        <f>SUM(J110:J116)</f>
        <v>500</v>
      </c>
      <c r="K117" s="521"/>
    </row>
    <row r="118" spans="1:11" ht="13.8" thickBot="1"/>
    <row r="119" spans="1:11" ht="16.2" thickBot="1">
      <c r="A119" s="1452" t="s">
        <v>127</v>
      </c>
      <c r="B119" s="1453"/>
      <c r="C119" s="1453"/>
      <c r="D119" s="1453"/>
      <c r="E119" s="1453"/>
      <c r="F119" s="1453"/>
      <c r="G119" s="1453"/>
      <c r="H119" s="1453"/>
      <c r="I119" s="1454" t="s">
        <v>93</v>
      </c>
      <c r="J119" s="1454"/>
      <c r="K119" s="494">
        <f>K132+J142</f>
        <v>7753.8461538461534</v>
      </c>
    </row>
    <row r="120" spans="1:11" ht="13.8" thickBot="1">
      <c r="A120" s="398"/>
      <c r="B120" s="399"/>
      <c r="C120" s="399"/>
      <c r="D120" s="399"/>
      <c r="E120" s="399"/>
      <c r="F120" s="399"/>
      <c r="G120" s="399"/>
      <c r="H120" s="399"/>
      <c r="I120" s="399"/>
      <c r="J120" s="399"/>
      <c r="K120" s="400"/>
    </row>
    <row r="121" spans="1:11" ht="14.4" thickBot="1">
      <c r="A121" s="401" t="s">
        <v>83</v>
      </c>
      <c r="B121" s="1455" t="s">
        <v>89</v>
      </c>
      <c r="C121" s="1456"/>
      <c r="D121" s="402" t="s">
        <v>43</v>
      </c>
      <c r="E121" s="403" t="s">
        <v>44</v>
      </c>
      <c r="F121" s="403" t="s">
        <v>82</v>
      </c>
      <c r="G121" s="403" t="s">
        <v>3</v>
      </c>
      <c r="H121" s="404" t="s">
        <v>4</v>
      </c>
      <c r="I121" s="404" t="s">
        <v>80</v>
      </c>
      <c r="J121" s="405" t="s">
        <v>84</v>
      </c>
      <c r="K121" s="406" t="s">
        <v>17</v>
      </c>
    </row>
    <row r="122" spans="1:11" ht="13.8">
      <c r="A122" s="497">
        <v>620</v>
      </c>
      <c r="B122" s="1450" t="s">
        <v>122</v>
      </c>
      <c r="C122" s="1451"/>
      <c r="D122" s="498">
        <v>2800</v>
      </c>
      <c r="E122" s="499" t="s">
        <v>45</v>
      </c>
      <c r="F122" s="500">
        <f t="shared" ref="F122:F131" si="13">IF(E122="5jours/sem", D122*3/13/5,IF(E122="6jours/sem",D122*3/13/6,""))</f>
        <v>129.23076923076923</v>
      </c>
      <c r="G122" s="501" t="s">
        <v>29</v>
      </c>
      <c r="H122" s="412">
        <f>J13</f>
        <v>8</v>
      </c>
      <c r="I122" s="502">
        <f t="shared" ref="I122:I131" si="14">IF(E122="",0,IF(G122="",0,IF(E122="5jours/sem",IF(G122="Jour",H122*D122*3/13/5,IF(G122="Semaine",H122*D122*3/13,IF(G122="Mois",H122*D122,0))),IF(E122="6jours/sem",IF(G122="Jour",H122*D122*3/13/6,IF(G122="Semaine",H122*D122*3/13,IF(G122="Mois",H122*D122,0)))))))</f>
        <v>1033.8461538461538</v>
      </c>
      <c r="J122" s="503">
        <v>0</v>
      </c>
      <c r="K122" s="415">
        <f t="shared" ref="K122:K131" si="15">I122*K$1+J122</f>
        <v>1550.7692307692307</v>
      </c>
    </row>
    <row r="123" spans="1:11" ht="13.8">
      <c r="A123" s="425">
        <v>620</v>
      </c>
      <c r="B123" s="1443" t="s">
        <v>122</v>
      </c>
      <c r="C123" s="1444"/>
      <c r="D123" s="428">
        <v>2800</v>
      </c>
      <c r="E123" s="429" t="s">
        <v>45</v>
      </c>
      <c r="F123" s="430">
        <f t="shared" si="13"/>
        <v>129.23076923076923</v>
      </c>
      <c r="G123" s="431" t="s">
        <v>29</v>
      </c>
      <c r="H123" s="421">
        <f>H122</f>
        <v>8</v>
      </c>
      <c r="I123" s="433">
        <f t="shared" si="14"/>
        <v>1033.8461538461538</v>
      </c>
      <c r="J123" s="434">
        <v>0</v>
      </c>
      <c r="K123" s="424">
        <f t="shared" si="15"/>
        <v>1550.7692307692307</v>
      </c>
    </row>
    <row r="124" spans="1:11" ht="13.8">
      <c r="A124" s="425">
        <v>620</v>
      </c>
      <c r="B124" s="1443" t="s">
        <v>123</v>
      </c>
      <c r="C124" s="1444"/>
      <c r="D124" s="428">
        <v>2800</v>
      </c>
      <c r="E124" s="429" t="s">
        <v>45</v>
      </c>
      <c r="F124" s="430">
        <f t="shared" si="13"/>
        <v>129.23076923076923</v>
      </c>
      <c r="G124" s="431" t="s">
        <v>29</v>
      </c>
      <c r="H124" s="421">
        <f>H123</f>
        <v>8</v>
      </c>
      <c r="I124" s="433">
        <f t="shared" si="14"/>
        <v>1033.8461538461538</v>
      </c>
      <c r="J124" s="434">
        <v>0</v>
      </c>
      <c r="K124" s="424">
        <f t="shared" si="15"/>
        <v>1550.7692307692307</v>
      </c>
    </row>
    <row r="125" spans="1:11" ht="13.8">
      <c r="A125" s="425">
        <v>620</v>
      </c>
      <c r="B125" s="1443" t="s">
        <v>123</v>
      </c>
      <c r="C125" s="1444"/>
      <c r="D125" s="428">
        <v>2800</v>
      </c>
      <c r="E125" s="429" t="s">
        <v>45</v>
      </c>
      <c r="F125" s="430">
        <f t="shared" si="13"/>
        <v>129.23076923076923</v>
      </c>
      <c r="G125" s="431" t="s">
        <v>29</v>
      </c>
      <c r="H125" s="421">
        <f>H124</f>
        <v>8</v>
      </c>
      <c r="I125" s="433">
        <f t="shared" si="14"/>
        <v>1033.8461538461538</v>
      </c>
      <c r="J125" s="434">
        <v>0</v>
      </c>
      <c r="K125" s="424">
        <f t="shared" si="15"/>
        <v>1550.7692307692307</v>
      </c>
    </row>
    <row r="126" spans="1:11" ht="14.4" thickBot="1">
      <c r="A126" s="425">
        <v>620</v>
      </c>
      <c r="B126" s="1443" t="s">
        <v>126</v>
      </c>
      <c r="C126" s="1444"/>
      <c r="D126" s="428">
        <v>2800</v>
      </c>
      <c r="E126" s="429" t="s">
        <v>45</v>
      </c>
      <c r="F126" s="430">
        <f t="shared" si="13"/>
        <v>129.23076923076923</v>
      </c>
      <c r="G126" s="431" t="s">
        <v>29</v>
      </c>
      <c r="H126" s="421">
        <f>H125</f>
        <v>8</v>
      </c>
      <c r="I126" s="433">
        <f t="shared" si="14"/>
        <v>1033.8461538461538</v>
      </c>
      <c r="J126" s="434">
        <v>0</v>
      </c>
      <c r="K126" s="424">
        <f t="shared" si="15"/>
        <v>1550.7692307692307</v>
      </c>
    </row>
    <row r="127" spans="1:11" ht="13.8" hidden="1">
      <c r="A127" s="425">
        <v>620</v>
      </c>
      <c r="B127" s="1443" t="s">
        <v>85</v>
      </c>
      <c r="C127" s="1444"/>
      <c r="D127" s="428">
        <v>2800</v>
      </c>
      <c r="E127" s="429" t="s">
        <v>45</v>
      </c>
      <c r="F127" s="430">
        <f t="shared" si="13"/>
        <v>129.23076923076923</v>
      </c>
      <c r="G127" s="431" t="s">
        <v>29</v>
      </c>
      <c r="H127" s="432"/>
      <c r="I127" s="433">
        <f t="shared" si="14"/>
        <v>0</v>
      </c>
      <c r="J127" s="434">
        <v>0</v>
      </c>
      <c r="K127" s="424">
        <f t="shared" si="15"/>
        <v>0</v>
      </c>
    </row>
    <row r="128" spans="1:11" ht="13.8" hidden="1">
      <c r="A128" s="425">
        <v>620</v>
      </c>
      <c r="B128" s="1443" t="s">
        <v>85</v>
      </c>
      <c r="C128" s="1444"/>
      <c r="D128" s="428">
        <v>2800</v>
      </c>
      <c r="E128" s="429" t="s">
        <v>45</v>
      </c>
      <c r="F128" s="430">
        <f t="shared" si="13"/>
        <v>129.23076923076923</v>
      </c>
      <c r="G128" s="431" t="s">
        <v>29</v>
      </c>
      <c r="H128" s="432"/>
      <c r="I128" s="433">
        <f t="shared" si="14"/>
        <v>0</v>
      </c>
      <c r="J128" s="434">
        <v>0</v>
      </c>
      <c r="K128" s="424">
        <f t="shared" si="15"/>
        <v>0</v>
      </c>
    </row>
    <row r="129" spans="1:11" ht="13.8" hidden="1">
      <c r="A129" s="425">
        <v>620</v>
      </c>
      <c r="B129" s="1443" t="s">
        <v>85</v>
      </c>
      <c r="C129" s="1444"/>
      <c r="D129" s="428">
        <v>2800</v>
      </c>
      <c r="E129" s="429" t="s">
        <v>45</v>
      </c>
      <c r="F129" s="430">
        <f t="shared" si="13"/>
        <v>129.23076923076923</v>
      </c>
      <c r="G129" s="431" t="s">
        <v>29</v>
      </c>
      <c r="H129" s="432"/>
      <c r="I129" s="433">
        <f t="shared" si="14"/>
        <v>0</v>
      </c>
      <c r="J129" s="434">
        <v>0</v>
      </c>
      <c r="K129" s="424">
        <f t="shared" si="15"/>
        <v>0</v>
      </c>
    </row>
    <row r="130" spans="1:11" ht="13.8" hidden="1">
      <c r="A130" s="425">
        <v>620</v>
      </c>
      <c r="B130" s="1443" t="s">
        <v>85</v>
      </c>
      <c r="C130" s="1444"/>
      <c r="D130" s="428">
        <v>2800</v>
      </c>
      <c r="E130" s="429" t="s">
        <v>45</v>
      </c>
      <c r="F130" s="430">
        <f t="shared" si="13"/>
        <v>129.23076923076923</v>
      </c>
      <c r="G130" s="431" t="s">
        <v>29</v>
      </c>
      <c r="H130" s="432"/>
      <c r="I130" s="433">
        <f t="shared" si="14"/>
        <v>0</v>
      </c>
      <c r="J130" s="434">
        <v>0</v>
      </c>
      <c r="K130" s="424">
        <f t="shared" si="15"/>
        <v>0</v>
      </c>
    </row>
    <row r="131" spans="1:11" ht="14.4" hidden="1" thickBot="1">
      <c r="A131" s="435">
        <v>620</v>
      </c>
      <c r="B131" s="1445" t="s">
        <v>85</v>
      </c>
      <c r="C131" s="1446"/>
      <c r="D131" s="438">
        <v>2800</v>
      </c>
      <c r="E131" s="439" t="s">
        <v>45</v>
      </c>
      <c r="F131" s="440">
        <f t="shared" si="13"/>
        <v>129.23076923076923</v>
      </c>
      <c r="G131" s="441" t="s">
        <v>29</v>
      </c>
      <c r="H131" s="442"/>
      <c r="I131" s="443">
        <f t="shared" si="14"/>
        <v>0</v>
      </c>
      <c r="J131" s="444">
        <v>0</v>
      </c>
      <c r="K131" s="504">
        <f t="shared" si="15"/>
        <v>0</v>
      </c>
    </row>
    <row r="132" spans="1:11" ht="16.2" thickBot="1">
      <c r="A132" s="445"/>
      <c r="B132" s="446"/>
      <c r="C132" s="447"/>
      <c r="D132" s="1457"/>
      <c r="E132" s="1457"/>
      <c r="F132" s="447"/>
      <c r="G132" s="448"/>
      <c r="H132" s="995"/>
      <c r="I132" s="1448" t="s">
        <v>94</v>
      </c>
      <c r="J132" s="1449"/>
      <c r="K132" s="505">
        <f>SUM(K122:K131)</f>
        <v>7753.8461538461534</v>
      </c>
    </row>
    <row r="133" spans="1:11" ht="13.8" hidden="1" thickBot="1">
      <c r="A133" s="398"/>
      <c r="B133" s="399"/>
      <c r="C133" s="399"/>
      <c r="D133" s="399"/>
      <c r="E133" s="399"/>
      <c r="F133" s="399"/>
      <c r="G133" s="399"/>
      <c r="H133" s="399"/>
      <c r="I133" s="399"/>
      <c r="J133" s="399"/>
      <c r="K133" s="400"/>
    </row>
    <row r="134" spans="1:11" ht="14.4" hidden="1" thickBot="1">
      <c r="A134" s="459" t="s">
        <v>51</v>
      </c>
      <c r="B134" s="1434" t="s">
        <v>88</v>
      </c>
      <c r="C134" s="1435"/>
      <c r="D134" s="1436"/>
      <c r="E134" s="460" t="s">
        <v>6</v>
      </c>
      <c r="F134" s="127" t="s">
        <v>7</v>
      </c>
      <c r="G134" s="127" t="s">
        <v>6</v>
      </c>
      <c r="H134" s="128" t="s">
        <v>7</v>
      </c>
      <c r="I134" s="127" t="s">
        <v>33</v>
      </c>
      <c r="J134" s="506" t="s">
        <v>92</v>
      </c>
      <c r="K134" s="400"/>
    </row>
    <row r="135" spans="1:11" ht="13.8" hidden="1">
      <c r="A135" s="507">
        <v>610</v>
      </c>
      <c r="B135" s="1437" t="s">
        <v>53</v>
      </c>
      <c r="C135" s="1438"/>
      <c r="D135" s="1439"/>
      <c r="E135" s="508"/>
      <c r="F135" s="509">
        <v>1</v>
      </c>
      <c r="G135" s="508"/>
      <c r="H135" s="510">
        <v>1</v>
      </c>
      <c r="I135" s="473"/>
      <c r="J135" s="511">
        <f t="shared" ref="J135:J141" si="16">F135*H135*I135</f>
        <v>0</v>
      </c>
      <c r="K135" s="400"/>
    </row>
    <row r="136" spans="1:11" ht="13.8" hidden="1">
      <c r="A136" s="507">
        <v>611</v>
      </c>
      <c r="B136" s="1423" t="s">
        <v>11</v>
      </c>
      <c r="C136" s="1424"/>
      <c r="D136" s="1425"/>
      <c r="E136" s="508"/>
      <c r="F136" s="509">
        <v>1</v>
      </c>
      <c r="G136" s="508"/>
      <c r="H136" s="510">
        <v>1</v>
      </c>
      <c r="I136" s="473"/>
      <c r="J136" s="511">
        <f t="shared" si="16"/>
        <v>0</v>
      </c>
      <c r="K136" s="400"/>
    </row>
    <row r="137" spans="1:11" ht="13.8" hidden="1">
      <c r="A137" s="469">
        <v>611</v>
      </c>
      <c r="B137" s="1423" t="s">
        <v>12</v>
      </c>
      <c r="C137" s="1424"/>
      <c r="D137" s="1425"/>
      <c r="E137" s="512"/>
      <c r="F137" s="509">
        <v>1</v>
      </c>
      <c r="G137" s="512"/>
      <c r="H137" s="478">
        <v>1</v>
      </c>
      <c r="I137" s="477"/>
      <c r="J137" s="513">
        <f t="shared" si="16"/>
        <v>0</v>
      </c>
      <c r="K137" s="400"/>
    </row>
    <row r="138" spans="1:11" ht="13.8" hidden="1">
      <c r="A138" s="469">
        <v>613</v>
      </c>
      <c r="B138" s="1440" t="s">
        <v>14</v>
      </c>
      <c r="C138" s="1441"/>
      <c r="D138" s="1442"/>
      <c r="E138" s="512"/>
      <c r="F138" s="509">
        <v>1</v>
      </c>
      <c r="G138" s="512"/>
      <c r="H138" s="478">
        <v>1</v>
      </c>
      <c r="I138" s="479"/>
      <c r="J138" s="513">
        <f t="shared" si="16"/>
        <v>0</v>
      </c>
      <c r="K138" s="400"/>
    </row>
    <row r="139" spans="1:11" ht="13.8" hidden="1">
      <c r="A139" s="469">
        <v>613</v>
      </c>
      <c r="B139" s="1440" t="s">
        <v>13</v>
      </c>
      <c r="C139" s="1441"/>
      <c r="D139" s="1442"/>
      <c r="E139" s="512"/>
      <c r="F139" s="509">
        <v>1</v>
      </c>
      <c r="G139" s="512"/>
      <c r="H139" s="478">
        <v>1</v>
      </c>
      <c r="I139" s="479"/>
      <c r="J139" s="513">
        <f t="shared" si="16"/>
        <v>0</v>
      </c>
      <c r="K139" s="400"/>
    </row>
    <row r="140" spans="1:11" ht="13.8" hidden="1">
      <c r="A140" s="469">
        <v>613</v>
      </c>
      <c r="B140" s="1423" t="s">
        <v>15</v>
      </c>
      <c r="C140" s="1424"/>
      <c r="D140" s="1425"/>
      <c r="E140" s="512"/>
      <c r="F140" s="509">
        <v>1</v>
      </c>
      <c r="G140" s="512"/>
      <c r="H140" s="478">
        <v>1</v>
      </c>
      <c r="I140" s="477"/>
      <c r="J140" s="513">
        <f t="shared" si="16"/>
        <v>0</v>
      </c>
      <c r="K140" s="400"/>
    </row>
    <row r="141" spans="1:11" ht="14.4" hidden="1" thickBot="1">
      <c r="A141" s="514"/>
      <c r="B141" s="1426"/>
      <c r="C141" s="1427"/>
      <c r="D141" s="1428"/>
      <c r="E141" s="515"/>
      <c r="F141" s="509">
        <v>1</v>
      </c>
      <c r="G141" s="516"/>
      <c r="H141" s="484">
        <v>1</v>
      </c>
      <c r="I141" s="517"/>
      <c r="J141" s="518">
        <f t="shared" si="16"/>
        <v>0</v>
      </c>
      <c r="K141" s="400"/>
    </row>
    <row r="142" spans="1:11" ht="14.4" hidden="1" thickBot="1">
      <c r="A142" s="519"/>
      <c r="B142" s="486"/>
      <c r="C142" s="486"/>
      <c r="D142" s="486"/>
      <c r="E142" s="487"/>
      <c r="F142" s="488"/>
      <c r="G142" s="486"/>
      <c r="H142" s="489"/>
      <c r="I142" s="451" t="s">
        <v>95</v>
      </c>
      <c r="J142" s="520">
        <f>SUM(J135:J141)</f>
        <v>0</v>
      </c>
      <c r="K142" s="521"/>
    </row>
    <row r="144" spans="1:11" ht="16.2" hidden="1" thickBot="1">
      <c r="A144" s="1452" t="s">
        <v>96</v>
      </c>
      <c r="B144" s="1453"/>
      <c r="C144" s="1453"/>
      <c r="D144" s="1453"/>
      <c r="E144" s="1453"/>
      <c r="F144" s="1453"/>
      <c r="G144" s="1453"/>
      <c r="H144" s="1453"/>
      <c r="I144" s="1454" t="s">
        <v>93</v>
      </c>
      <c r="J144" s="1454"/>
      <c r="K144" s="494">
        <f>K157+J167</f>
        <v>0</v>
      </c>
    </row>
    <row r="145" spans="1:11" ht="13.8" hidden="1" thickBot="1">
      <c r="A145" s="398"/>
      <c r="B145" s="399"/>
      <c r="C145" s="399"/>
      <c r="D145" s="399"/>
      <c r="E145" s="399"/>
      <c r="F145" s="399"/>
      <c r="G145" s="399"/>
      <c r="H145" s="399"/>
      <c r="I145" s="399"/>
      <c r="J145" s="399"/>
      <c r="K145" s="400"/>
    </row>
    <row r="146" spans="1:11" ht="14.4" hidden="1" thickBot="1">
      <c r="A146" s="401" t="s">
        <v>83</v>
      </c>
      <c r="B146" s="1455" t="s">
        <v>89</v>
      </c>
      <c r="C146" s="1456"/>
      <c r="D146" s="402" t="s">
        <v>43</v>
      </c>
      <c r="E146" s="403" t="s">
        <v>44</v>
      </c>
      <c r="F146" s="403" t="s">
        <v>82</v>
      </c>
      <c r="G146" s="403" t="s">
        <v>3</v>
      </c>
      <c r="H146" s="404" t="s">
        <v>4</v>
      </c>
      <c r="I146" s="404" t="s">
        <v>80</v>
      </c>
      <c r="J146" s="405" t="s">
        <v>84</v>
      </c>
      <c r="K146" s="406" t="s">
        <v>17</v>
      </c>
    </row>
    <row r="147" spans="1:11" ht="13.8" hidden="1">
      <c r="A147" s="497">
        <v>620</v>
      </c>
      <c r="B147" s="1450" t="s">
        <v>85</v>
      </c>
      <c r="C147" s="1451"/>
      <c r="D147" s="498">
        <v>2800</v>
      </c>
      <c r="E147" s="499" t="s">
        <v>45</v>
      </c>
      <c r="F147" s="500">
        <f t="shared" ref="F147:F156" si="17">IF(E147="5jours/sem", D147*3/13/5,IF(E147="6jours/sem",D147*3/13/6,""))</f>
        <v>129.23076923076923</v>
      </c>
      <c r="G147" s="501" t="s">
        <v>29</v>
      </c>
      <c r="H147" s="522"/>
      <c r="I147" s="502">
        <f t="shared" ref="I147:I156" si="18">IF(E147="",0,IF(G147="",0,IF(E147="5jours/sem",IF(G147="Jour",H147*D147*3/13/5,IF(G147="Semaine",H147*D147*3/13,IF(G147="Mois",H147*D147,0))),IF(E147="6jours/sem",IF(G147="Jour",H147*D147*3/13/6,IF(G147="Semaine",H147*D147*3/13,IF(G147="Mois",H147*D147,0)))))))</f>
        <v>0</v>
      </c>
      <c r="J147" s="503">
        <v>0</v>
      </c>
      <c r="K147" s="415">
        <f t="shared" ref="K147:K156" si="19">I147*K$1+J147</f>
        <v>0</v>
      </c>
    </row>
    <row r="148" spans="1:11" ht="13.8" hidden="1">
      <c r="A148" s="425">
        <v>620</v>
      </c>
      <c r="B148" s="1443" t="s">
        <v>85</v>
      </c>
      <c r="C148" s="1444"/>
      <c r="D148" s="428">
        <v>2800</v>
      </c>
      <c r="E148" s="429" t="s">
        <v>45</v>
      </c>
      <c r="F148" s="430">
        <f t="shared" si="17"/>
        <v>129.23076923076923</v>
      </c>
      <c r="G148" s="431" t="s">
        <v>29</v>
      </c>
      <c r="H148" s="432"/>
      <c r="I148" s="433">
        <f t="shared" si="18"/>
        <v>0</v>
      </c>
      <c r="J148" s="434">
        <v>0</v>
      </c>
      <c r="K148" s="424">
        <f t="shared" si="19"/>
        <v>0</v>
      </c>
    </row>
    <row r="149" spans="1:11" ht="13.8" hidden="1">
      <c r="A149" s="425">
        <v>620</v>
      </c>
      <c r="B149" s="1443" t="s">
        <v>85</v>
      </c>
      <c r="C149" s="1444"/>
      <c r="D149" s="428">
        <v>2800</v>
      </c>
      <c r="E149" s="429" t="s">
        <v>45</v>
      </c>
      <c r="F149" s="430">
        <f t="shared" si="17"/>
        <v>129.23076923076923</v>
      </c>
      <c r="G149" s="431" t="s">
        <v>29</v>
      </c>
      <c r="H149" s="432"/>
      <c r="I149" s="433">
        <f t="shared" si="18"/>
        <v>0</v>
      </c>
      <c r="J149" s="434">
        <v>0</v>
      </c>
      <c r="K149" s="424">
        <f t="shared" si="19"/>
        <v>0</v>
      </c>
    </row>
    <row r="150" spans="1:11" ht="13.8" hidden="1">
      <c r="A150" s="425">
        <v>620</v>
      </c>
      <c r="B150" s="1443" t="s">
        <v>85</v>
      </c>
      <c r="C150" s="1444"/>
      <c r="D150" s="428">
        <v>2800</v>
      </c>
      <c r="E150" s="429" t="s">
        <v>45</v>
      </c>
      <c r="F150" s="430">
        <f t="shared" si="17"/>
        <v>129.23076923076923</v>
      </c>
      <c r="G150" s="431" t="s">
        <v>29</v>
      </c>
      <c r="H150" s="432"/>
      <c r="I150" s="433">
        <f t="shared" si="18"/>
        <v>0</v>
      </c>
      <c r="J150" s="434">
        <v>0</v>
      </c>
      <c r="K150" s="424">
        <f t="shared" si="19"/>
        <v>0</v>
      </c>
    </row>
    <row r="151" spans="1:11" ht="13.8" hidden="1">
      <c r="A151" s="425">
        <v>620</v>
      </c>
      <c r="B151" s="1443" t="s">
        <v>85</v>
      </c>
      <c r="C151" s="1444"/>
      <c r="D151" s="428">
        <v>2800</v>
      </c>
      <c r="E151" s="429" t="s">
        <v>45</v>
      </c>
      <c r="F151" s="430">
        <f t="shared" si="17"/>
        <v>129.23076923076923</v>
      </c>
      <c r="G151" s="431" t="s">
        <v>29</v>
      </c>
      <c r="H151" s="432"/>
      <c r="I151" s="433">
        <f t="shared" si="18"/>
        <v>0</v>
      </c>
      <c r="J151" s="434">
        <v>0</v>
      </c>
      <c r="K151" s="424">
        <f t="shared" si="19"/>
        <v>0</v>
      </c>
    </row>
    <row r="152" spans="1:11" ht="13.8" hidden="1">
      <c r="A152" s="425">
        <v>620</v>
      </c>
      <c r="B152" s="1443" t="s">
        <v>85</v>
      </c>
      <c r="C152" s="1444"/>
      <c r="D152" s="428">
        <v>2800</v>
      </c>
      <c r="E152" s="429" t="s">
        <v>45</v>
      </c>
      <c r="F152" s="430">
        <f t="shared" si="17"/>
        <v>129.23076923076923</v>
      </c>
      <c r="G152" s="431" t="s">
        <v>29</v>
      </c>
      <c r="H152" s="432"/>
      <c r="I152" s="433">
        <f t="shared" si="18"/>
        <v>0</v>
      </c>
      <c r="J152" s="434">
        <v>0</v>
      </c>
      <c r="K152" s="424">
        <f t="shared" si="19"/>
        <v>0</v>
      </c>
    </row>
    <row r="153" spans="1:11" ht="13.8" hidden="1">
      <c r="A153" s="425">
        <v>620</v>
      </c>
      <c r="B153" s="1443" t="s">
        <v>85</v>
      </c>
      <c r="C153" s="1444"/>
      <c r="D153" s="428">
        <v>2800</v>
      </c>
      <c r="E153" s="429" t="s">
        <v>45</v>
      </c>
      <c r="F153" s="430">
        <f t="shared" si="17"/>
        <v>129.23076923076923</v>
      </c>
      <c r="G153" s="431" t="s">
        <v>29</v>
      </c>
      <c r="H153" s="432"/>
      <c r="I153" s="433">
        <f t="shared" si="18"/>
        <v>0</v>
      </c>
      <c r="J153" s="434">
        <v>0</v>
      </c>
      <c r="K153" s="424">
        <f t="shared" si="19"/>
        <v>0</v>
      </c>
    </row>
    <row r="154" spans="1:11" ht="13.8" hidden="1">
      <c r="A154" s="425">
        <v>620</v>
      </c>
      <c r="B154" s="1443" t="s">
        <v>85</v>
      </c>
      <c r="C154" s="1444"/>
      <c r="D154" s="428">
        <v>2800</v>
      </c>
      <c r="E154" s="429" t="s">
        <v>45</v>
      </c>
      <c r="F154" s="430">
        <f t="shared" si="17"/>
        <v>129.23076923076923</v>
      </c>
      <c r="G154" s="431" t="s">
        <v>29</v>
      </c>
      <c r="H154" s="432"/>
      <c r="I154" s="433">
        <f t="shared" si="18"/>
        <v>0</v>
      </c>
      <c r="J154" s="434">
        <v>0</v>
      </c>
      <c r="K154" s="424">
        <f t="shared" si="19"/>
        <v>0</v>
      </c>
    </row>
    <row r="155" spans="1:11" ht="13.8" hidden="1">
      <c r="A155" s="425">
        <v>620</v>
      </c>
      <c r="B155" s="1443" t="s">
        <v>85</v>
      </c>
      <c r="C155" s="1444"/>
      <c r="D155" s="428">
        <v>2800</v>
      </c>
      <c r="E155" s="429" t="s">
        <v>45</v>
      </c>
      <c r="F155" s="430">
        <f t="shared" si="17"/>
        <v>129.23076923076923</v>
      </c>
      <c r="G155" s="431" t="s">
        <v>29</v>
      </c>
      <c r="H155" s="432"/>
      <c r="I155" s="433">
        <f t="shared" si="18"/>
        <v>0</v>
      </c>
      <c r="J155" s="434">
        <v>0</v>
      </c>
      <c r="K155" s="424">
        <f t="shared" si="19"/>
        <v>0</v>
      </c>
    </row>
    <row r="156" spans="1:11" ht="14.4" hidden="1" thickBot="1">
      <c r="A156" s="435">
        <v>620</v>
      </c>
      <c r="B156" s="1445" t="s">
        <v>85</v>
      </c>
      <c r="C156" s="1446"/>
      <c r="D156" s="438">
        <v>2800</v>
      </c>
      <c r="E156" s="439" t="s">
        <v>45</v>
      </c>
      <c r="F156" s="440">
        <f t="shared" si="17"/>
        <v>129.23076923076923</v>
      </c>
      <c r="G156" s="441" t="s">
        <v>29</v>
      </c>
      <c r="H156" s="442"/>
      <c r="I156" s="443">
        <f t="shared" si="18"/>
        <v>0</v>
      </c>
      <c r="J156" s="444">
        <v>0</v>
      </c>
      <c r="K156" s="504">
        <f t="shared" si="19"/>
        <v>0</v>
      </c>
    </row>
    <row r="157" spans="1:11" ht="16.2" hidden="1" thickBot="1">
      <c r="A157" s="453"/>
      <c r="B157" s="454"/>
      <c r="C157" s="455"/>
      <c r="D157" s="1447"/>
      <c r="E157" s="1447"/>
      <c r="F157" s="455"/>
      <c r="G157" s="456"/>
      <c r="H157" s="457"/>
      <c r="I157" s="1448" t="s">
        <v>94</v>
      </c>
      <c r="J157" s="1449"/>
      <c r="K157" s="505">
        <f>SUM(K147:K156)</f>
        <v>0</v>
      </c>
    </row>
    <row r="158" spans="1:11" ht="13.8" hidden="1" thickBot="1">
      <c r="A158" s="398"/>
      <c r="B158" s="399"/>
      <c r="C158" s="399"/>
      <c r="D158" s="399"/>
      <c r="E158" s="399"/>
      <c r="F158" s="399"/>
      <c r="G158" s="399"/>
      <c r="H158" s="399"/>
      <c r="I158" s="399"/>
      <c r="J158" s="399"/>
      <c r="K158" s="400"/>
    </row>
    <row r="159" spans="1:11" ht="14.4" hidden="1" thickBot="1">
      <c r="A159" s="459" t="s">
        <v>51</v>
      </c>
      <c r="B159" s="1434" t="s">
        <v>88</v>
      </c>
      <c r="C159" s="1435"/>
      <c r="D159" s="1436"/>
      <c r="E159" s="460" t="s">
        <v>6</v>
      </c>
      <c r="F159" s="127" t="s">
        <v>7</v>
      </c>
      <c r="G159" s="127" t="s">
        <v>6</v>
      </c>
      <c r="H159" s="128" t="s">
        <v>7</v>
      </c>
      <c r="I159" s="127" t="s">
        <v>33</v>
      </c>
      <c r="J159" s="506" t="s">
        <v>92</v>
      </c>
      <c r="K159" s="400"/>
    </row>
    <row r="160" spans="1:11" ht="13.8" hidden="1">
      <c r="A160" s="507">
        <v>610</v>
      </c>
      <c r="B160" s="1437" t="s">
        <v>53</v>
      </c>
      <c r="C160" s="1438"/>
      <c r="D160" s="1439"/>
      <c r="E160" s="508"/>
      <c r="F160" s="509">
        <v>1</v>
      </c>
      <c r="G160" s="508"/>
      <c r="H160" s="510">
        <v>1</v>
      </c>
      <c r="I160" s="473"/>
      <c r="J160" s="511">
        <f t="shared" ref="J160:J166" si="20">F160*H160*I160</f>
        <v>0</v>
      </c>
      <c r="K160" s="400"/>
    </row>
    <row r="161" spans="1:11" ht="13.8" hidden="1">
      <c r="A161" s="507">
        <v>611</v>
      </c>
      <c r="B161" s="1423" t="s">
        <v>11</v>
      </c>
      <c r="C161" s="1424"/>
      <c r="D161" s="1425"/>
      <c r="E161" s="508"/>
      <c r="F161" s="509">
        <v>1</v>
      </c>
      <c r="G161" s="508"/>
      <c r="H161" s="510">
        <v>1</v>
      </c>
      <c r="I161" s="473"/>
      <c r="J161" s="511">
        <f t="shared" si="20"/>
        <v>0</v>
      </c>
      <c r="K161" s="400"/>
    </row>
    <row r="162" spans="1:11" ht="13.8" hidden="1">
      <c r="A162" s="469">
        <v>611</v>
      </c>
      <c r="B162" s="1423" t="s">
        <v>12</v>
      </c>
      <c r="C162" s="1424"/>
      <c r="D162" s="1425"/>
      <c r="E162" s="512"/>
      <c r="F162" s="509">
        <v>1</v>
      </c>
      <c r="G162" s="512"/>
      <c r="H162" s="478">
        <v>1</v>
      </c>
      <c r="I162" s="477"/>
      <c r="J162" s="513">
        <f t="shared" si="20"/>
        <v>0</v>
      </c>
      <c r="K162" s="400"/>
    </row>
    <row r="163" spans="1:11" ht="13.8" hidden="1">
      <c r="A163" s="469">
        <v>613</v>
      </c>
      <c r="B163" s="1440" t="s">
        <v>14</v>
      </c>
      <c r="C163" s="1441"/>
      <c r="D163" s="1442"/>
      <c r="E163" s="512"/>
      <c r="F163" s="509">
        <v>1</v>
      </c>
      <c r="G163" s="512"/>
      <c r="H163" s="478">
        <v>1</v>
      </c>
      <c r="I163" s="479"/>
      <c r="J163" s="513">
        <f t="shared" si="20"/>
        <v>0</v>
      </c>
      <c r="K163" s="400"/>
    </row>
    <row r="164" spans="1:11" ht="13.8" hidden="1">
      <c r="A164" s="469">
        <v>613</v>
      </c>
      <c r="B164" s="1440" t="s">
        <v>13</v>
      </c>
      <c r="C164" s="1441"/>
      <c r="D164" s="1442"/>
      <c r="E164" s="512"/>
      <c r="F164" s="509">
        <v>1</v>
      </c>
      <c r="G164" s="512"/>
      <c r="H164" s="478">
        <v>1</v>
      </c>
      <c r="I164" s="479"/>
      <c r="J164" s="513">
        <f t="shared" si="20"/>
        <v>0</v>
      </c>
      <c r="K164" s="400"/>
    </row>
    <row r="165" spans="1:11" ht="13.8" hidden="1">
      <c r="A165" s="469">
        <v>613</v>
      </c>
      <c r="B165" s="1423" t="s">
        <v>15</v>
      </c>
      <c r="C165" s="1424"/>
      <c r="D165" s="1425"/>
      <c r="E165" s="512"/>
      <c r="F165" s="509">
        <v>1</v>
      </c>
      <c r="G165" s="512"/>
      <c r="H165" s="478">
        <v>1</v>
      </c>
      <c r="I165" s="477"/>
      <c r="J165" s="513">
        <f t="shared" si="20"/>
        <v>0</v>
      </c>
      <c r="K165" s="400"/>
    </row>
    <row r="166" spans="1:11" ht="14.4" hidden="1" thickBot="1">
      <c r="A166" s="514"/>
      <c r="B166" s="1426"/>
      <c r="C166" s="1427"/>
      <c r="D166" s="1428"/>
      <c r="E166" s="515"/>
      <c r="F166" s="509">
        <v>1</v>
      </c>
      <c r="G166" s="516"/>
      <c r="H166" s="484">
        <v>1</v>
      </c>
      <c r="I166" s="517"/>
      <c r="J166" s="518">
        <f t="shared" si="20"/>
        <v>0</v>
      </c>
      <c r="K166" s="400"/>
    </row>
    <row r="167" spans="1:11" ht="14.4" hidden="1" thickBot="1">
      <c r="A167" s="519"/>
      <c r="B167" s="486"/>
      <c r="C167" s="486"/>
      <c r="D167" s="486"/>
      <c r="E167" s="487"/>
      <c r="F167" s="488"/>
      <c r="G167" s="486"/>
      <c r="H167" s="489"/>
      <c r="I167" s="451" t="s">
        <v>95</v>
      </c>
      <c r="J167" s="520">
        <f>SUM(J160:J166)</f>
        <v>0</v>
      </c>
      <c r="K167" s="521"/>
    </row>
    <row r="168" spans="1:11" ht="13.8" hidden="1" thickBot="1"/>
    <row r="169" spans="1:11" ht="16.2" hidden="1" thickBot="1">
      <c r="A169" s="1452" t="s">
        <v>97</v>
      </c>
      <c r="B169" s="1453"/>
      <c r="C169" s="1453"/>
      <c r="D169" s="1453"/>
      <c r="E169" s="1453"/>
      <c r="F169" s="1453"/>
      <c r="G169" s="1453"/>
      <c r="H169" s="1453"/>
      <c r="I169" s="1454" t="s">
        <v>93</v>
      </c>
      <c r="J169" s="1454"/>
      <c r="K169" s="494">
        <f>K182+J192</f>
        <v>0</v>
      </c>
    </row>
    <row r="170" spans="1:11" ht="13.8" hidden="1" thickBot="1">
      <c r="A170" s="398"/>
      <c r="B170" s="399"/>
      <c r="C170" s="399"/>
      <c r="D170" s="399"/>
      <c r="E170" s="399"/>
      <c r="F170" s="399"/>
      <c r="G170" s="399"/>
      <c r="H170" s="399"/>
      <c r="I170" s="399"/>
      <c r="J170" s="399"/>
      <c r="K170" s="400"/>
    </row>
    <row r="171" spans="1:11" ht="14.4" hidden="1" thickBot="1">
      <c r="A171" s="401" t="s">
        <v>83</v>
      </c>
      <c r="B171" s="1455" t="s">
        <v>89</v>
      </c>
      <c r="C171" s="1456"/>
      <c r="D171" s="402" t="s">
        <v>43</v>
      </c>
      <c r="E171" s="403" t="s">
        <v>44</v>
      </c>
      <c r="F171" s="403" t="s">
        <v>82</v>
      </c>
      <c r="G171" s="403" t="s">
        <v>3</v>
      </c>
      <c r="H171" s="404" t="s">
        <v>4</v>
      </c>
      <c r="I171" s="404" t="s">
        <v>80</v>
      </c>
      <c r="J171" s="405" t="s">
        <v>84</v>
      </c>
      <c r="K171" s="406" t="s">
        <v>17</v>
      </c>
    </row>
    <row r="172" spans="1:11" ht="13.8" hidden="1">
      <c r="A172" s="497">
        <v>620</v>
      </c>
      <c r="B172" s="1450" t="s">
        <v>85</v>
      </c>
      <c r="C172" s="1451"/>
      <c r="D172" s="498">
        <v>2800</v>
      </c>
      <c r="E172" s="499" t="s">
        <v>45</v>
      </c>
      <c r="F172" s="500">
        <f t="shared" ref="F172:F181" si="21">IF(E172="5jours/sem", D172*3/13/5,IF(E172="6jours/sem",D172*3/13/6,""))</f>
        <v>129.23076923076923</v>
      </c>
      <c r="G172" s="501" t="s">
        <v>29</v>
      </c>
      <c r="H172" s="522"/>
      <c r="I172" s="502">
        <f t="shared" ref="I172:I181" si="22">IF(E172="",0,IF(G172="",0,IF(E172="5jours/sem",IF(G172="Jour",H172*D172*3/13/5,IF(G172="Semaine",H172*D172*3/13,IF(G172="Mois",H172*D172,0))),IF(E172="6jours/sem",IF(G172="Jour",H172*D172*3/13/6,IF(G172="Semaine",H172*D172*3/13,IF(G172="Mois",H172*D172,0)))))))</f>
        <v>0</v>
      </c>
      <c r="J172" s="503">
        <v>0</v>
      </c>
      <c r="K172" s="415">
        <f t="shared" ref="K172:K181" si="23">I172*K$1+J172</f>
        <v>0</v>
      </c>
    </row>
    <row r="173" spans="1:11" ht="13.8" hidden="1">
      <c r="A173" s="425">
        <v>620</v>
      </c>
      <c r="B173" s="1443" t="s">
        <v>85</v>
      </c>
      <c r="C173" s="1444"/>
      <c r="D173" s="428">
        <v>2800</v>
      </c>
      <c r="E173" s="429" t="s">
        <v>45</v>
      </c>
      <c r="F173" s="430">
        <f t="shared" si="21"/>
        <v>129.23076923076923</v>
      </c>
      <c r="G173" s="431" t="s">
        <v>29</v>
      </c>
      <c r="H173" s="432"/>
      <c r="I173" s="433">
        <f t="shared" si="22"/>
        <v>0</v>
      </c>
      <c r="J173" s="434">
        <v>0</v>
      </c>
      <c r="K173" s="424">
        <f t="shared" si="23"/>
        <v>0</v>
      </c>
    </row>
    <row r="174" spans="1:11" ht="13.8" hidden="1">
      <c r="A174" s="425">
        <v>620</v>
      </c>
      <c r="B174" s="1443" t="s">
        <v>85</v>
      </c>
      <c r="C174" s="1444"/>
      <c r="D174" s="428">
        <v>2800</v>
      </c>
      <c r="E174" s="429" t="s">
        <v>45</v>
      </c>
      <c r="F174" s="430">
        <f t="shared" si="21"/>
        <v>129.23076923076923</v>
      </c>
      <c r="G174" s="431" t="s">
        <v>29</v>
      </c>
      <c r="H174" s="432"/>
      <c r="I174" s="433">
        <f t="shared" si="22"/>
        <v>0</v>
      </c>
      <c r="J174" s="434">
        <v>0</v>
      </c>
      <c r="K174" s="424">
        <f t="shared" si="23"/>
        <v>0</v>
      </c>
    </row>
    <row r="175" spans="1:11" ht="13.8" hidden="1">
      <c r="A175" s="425">
        <v>620</v>
      </c>
      <c r="B175" s="1443" t="s">
        <v>85</v>
      </c>
      <c r="C175" s="1444"/>
      <c r="D175" s="428">
        <v>2800</v>
      </c>
      <c r="E175" s="429" t="s">
        <v>45</v>
      </c>
      <c r="F175" s="430">
        <f t="shared" si="21"/>
        <v>129.23076923076923</v>
      </c>
      <c r="G175" s="431" t="s">
        <v>29</v>
      </c>
      <c r="H175" s="432"/>
      <c r="I175" s="433">
        <f t="shared" si="22"/>
        <v>0</v>
      </c>
      <c r="J175" s="434">
        <v>0</v>
      </c>
      <c r="K175" s="424">
        <f t="shared" si="23"/>
        <v>0</v>
      </c>
    </row>
    <row r="176" spans="1:11" ht="13.8" hidden="1">
      <c r="A176" s="425">
        <v>620</v>
      </c>
      <c r="B176" s="1443" t="s">
        <v>85</v>
      </c>
      <c r="C176" s="1444"/>
      <c r="D176" s="428">
        <v>2800</v>
      </c>
      <c r="E176" s="429" t="s">
        <v>45</v>
      </c>
      <c r="F176" s="430">
        <f t="shared" si="21"/>
        <v>129.23076923076923</v>
      </c>
      <c r="G176" s="431" t="s">
        <v>29</v>
      </c>
      <c r="H176" s="432"/>
      <c r="I176" s="433">
        <f t="shared" si="22"/>
        <v>0</v>
      </c>
      <c r="J176" s="434">
        <v>0</v>
      </c>
      <c r="K176" s="424">
        <f t="shared" si="23"/>
        <v>0</v>
      </c>
    </row>
    <row r="177" spans="1:11" ht="13.8" hidden="1">
      <c r="A177" s="425">
        <v>620</v>
      </c>
      <c r="B177" s="1443" t="s">
        <v>85</v>
      </c>
      <c r="C177" s="1444"/>
      <c r="D177" s="428">
        <v>2800</v>
      </c>
      <c r="E177" s="429" t="s">
        <v>45</v>
      </c>
      <c r="F177" s="430">
        <f t="shared" si="21"/>
        <v>129.23076923076923</v>
      </c>
      <c r="G177" s="431" t="s">
        <v>29</v>
      </c>
      <c r="H177" s="432"/>
      <c r="I177" s="433">
        <f t="shared" si="22"/>
        <v>0</v>
      </c>
      <c r="J177" s="434">
        <v>0</v>
      </c>
      <c r="K177" s="424">
        <f t="shared" si="23"/>
        <v>0</v>
      </c>
    </row>
    <row r="178" spans="1:11" ht="13.8" hidden="1">
      <c r="A178" s="425">
        <v>620</v>
      </c>
      <c r="B178" s="1443" t="s">
        <v>85</v>
      </c>
      <c r="C178" s="1444"/>
      <c r="D178" s="428">
        <v>2800</v>
      </c>
      <c r="E178" s="429" t="s">
        <v>45</v>
      </c>
      <c r="F178" s="430">
        <f t="shared" si="21"/>
        <v>129.23076923076923</v>
      </c>
      <c r="G178" s="431" t="s">
        <v>29</v>
      </c>
      <c r="H178" s="432"/>
      <c r="I178" s="433">
        <f t="shared" si="22"/>
        <v>0</v>
      </c>
      <c r="J178" s="434">
        <v>0</v>
      </c>
      <c r="K178" s="424">
        <f t="shared" si="23"/>
        <v>0</v>
      </c>
    </row>
    <row r="179" spans="1:11" ht="13.8" hidden="1">
      <c r="A179" s="425">
        <v>620</v>
      </c>
      <c r="B179" s="1443" t="s">
        <v>85</v>
      </c>
      <c r="C179" s="1444"/>
      <c r="D179" s="428">
        <v>2800</v>
      </c>
      <c r="E179" s="429" t="s">
        <v>45</v>
      </c>
      <c r="F179" s="430">
        <f t="shared" si="21"/>
        <v>129.23076923076923</v>
      </c>
      <c r="G179" s="431" t="s">
        <v>29</v>
      </c>
      <c r="H179" s="432"/>
      <c r="I179" s="433">
        <f t="shared" si="22"/>
        <v>0</v>
      </c>
      <c r="J179" s="434">
        <v>0</v>
      </c>
      <c r="K179" s="424">
        <f t="shared" si="23"/>
        <v>0</v>
      </c>
    </row>
    <row r="180" spans="1:11" ht="13.8" hidden="1">
      <c r="A180" s="425">
        <v>620</v>
      </c>
      <c r="B180" s="1443" t="s">
        <v>85</v>
      </c>
      <c r="C180" s="1444"/>
      <c r="D180" s="428">
        <v>2800</v>
      </c>
      <c r="E180" s="429" t="s">
        <v>45</v>
      </c>
      <c r="F180" s="430">
        <f t="shared" si="21"/>
        <v>129.23076923076923</v>
      </c>
      <c r="G180" s="431" t="s">
        <v>29</v>
      </c>
      <c r="H180" s="432"/>
      <c r="I180" s="433">
        <f t="shared" si="22"/>
        <v>0</v>
      </c>
      <c r="J180" s="434">
        <v>0</v>
      </c>
      <c r="K180" s="424">
        <f t="shared" si="23"/>
        <v>0</v>
      </c>
    </row>
    <row r="181" spans="1:11" ht="14.4" hidden="1" thickBot="1">
      <c r="A181" s="435">
        <v>620</v>
      </c>
      <c r="B181" s="1445" t="s">
        <v>85</v>
      </c>
      <c r="C181" s="1446"/>
      <c r="D181" s="438">
        <v>2800</v>
      </c>
      <c r="E181" s="439" t="s">
        <v>45</v>
      </c>
      <c r="F181" s="440">
        <f t="shared" si="21"/>
        <v>129.23076923076923</v>
      </c>
      <c r="G181" s="441" t="s">
        <v>29</v>
      </c>
      <c r="H181" s="442"/>
      <c r="I181" s="443">
        <f t="shared" si="22"/>
        <v>0</v>
      </c>
      <c r="J181" s="444">
        <v>0</v>
      </c>
      <c r="K181" s="504">
        <f t="shared" si="23"/>
        <v>0</v>
      </c>
    </row>
    <row r="182" spans="1:11" ht="16.2" hidden="1" thickBot="1">
      <c r="A182" s="453"/>
      <c r="B182" s="454"/>
      <c r="C182" s="455"/>
      <c r="D182" s="1447"/>
      <c r="E182" s="1447"/>
      <c r="F182" s="455"/>
      <c r="G182" s="456"/>
      <c r="H182" s="457"/>
      <c r="I182" s="1448" t="s">
        <v>94</v>
      </c>
      <c r="J182" s="1449"/>
      <c r="K182" s="505">
        <f>SUM(K172:K181)</f>
        <v>0</v>
      </c>
    </row>
    <row r="183" spans="1:11" ht="13.8" hidden="1" thickBot="1">
      <c r="A183" s="398"/>
      <c r="B183" s="399"/>
      <c r="C183" s="399"/>
      <c r="D183" s="399"/>
      <c r="E183" s="399"/>
      <c r="F183" s="399"/>
      <c r="G183" s="399"/>
      <c r="H183" s="399"/>
      <c r="I183" s="399"/>
      <c r="J183" s="399"/>
      <c r="K183" s="400"/>
    </row>
    <row r="184" spans="1:11" ht="14.4" hidden="1" thickBot="1">
      <c r="A184" s="459" t="s">
        <v>51</v>
      </c>
      <c r="B184" s="1434" t="s">
        <v>88</v>
      </c>
      <c r="C184" s="1435"/>
      <c r="D184" s="1436"/>
      <c r="E184" s="460" t="s">
        <v>6</v>
      </c>
      <c r="F184" s="127" t="s">
        <v>7</v>
      </c>
      <c r="G184" s="127" t="s">
        <v>6</v>
      </c>
      <c r="H184" s="128" t="s">
        <v>7</v>
      </c>
      <c r="I184" s="127" t="s">
        <v>33</v>
      </c>
      <c r="J184" s="506" t="s">
        <v>92</v>
      </c>
      <c r="K184" s="400"/>
    </row>
    <row r="185" spans="1:11" ht="13.8" hidden="1">
      <c r="A185" s="507">
        <v>610</v>
      </c>
      <c r="B185" s="1437" t="s">
        <v>53</v>
      </c>
      <c r="C185" s="1438"/>
      <c r="D185" s="1439"/>
      <c r="E185" s="508"/>
      <c r="F185" s="509">
        <v>1</v>
      </c>
      <c r="G185" s="508"/>
      <c r="H185" s="510">
        <v>1</v>
      </c>
      <c r="I185" s="473"/>
      <c r="J185" s="511">
        <f t="shared" ref="J185:J191" si="24">F185*H185*I185</f>
        <v>0</v>
      </c>
      <c r="K185" s="400"/>
    </row>
    <row r="186" spans="1:11" ht="13.8" hidden="1">
      <c r="A186" s="507">
        <v>611</v>
      </c>
      <c r="B186" s="1423" t="s">
        <v>11</v>
      </c>
      <c r="C186" s="1424"/>
      <c r="D186" s="1425"/>
      <c r="E186" s="508"/>
      <c r="F186" s="509">
        <v>1</v>
      </c>
      <c r="G186" s="508"/>
      <c r="H186" s="510">
        <v>1</v>
      </c>
      <c r="I186" s="473"/>
      <c r="J186" s="511">
        <f t="shared" si="24"/>
        <v>0</v>
      </c>
      <c r="K186" s="400"/>
    </row>
    <row r="187" spans="1:11" ht="13.8" hidden="1">
      <c r="A187" s="469">
        <v>611</v>
      </c>
      <c r="B187" s="1423" t="s">
        <v>12</v>
      </c>
      <c r="C187" s="1424"/>
      <c r="D187" s="1425"/>
      <c r="E187" s="512"/>
      <c r="F187" s="509">
        <v>1</v>
      </c>
      <c r="G187" s="512"/>
      <c r="H187" s="478">
        <v>1</v>
      </c>
      <c r="I187" s="477"/>
      <c r="J187" s="513">
        <f t="shared" si="24"/>
        <v>0</v>
      </c>
      <c r="K187" s="400"/>
    </row>
    <row r="188" spans="1:11" ht="13.8" hidden="1">
      <c r="A188" s="469">
        <v>613</v>
      </c>
      <c r="B188" s="1440" t="s">
        <v>14</v>
      </c>
      <c r="C188" s="1441"/>
      <c r="D188" s="1442"/>
      <c r="E188" s="512"/>
      <c r="F188" s="509">
        <v>1</v>
      </c>
      <c r="G188" s="512"/>
      <c r="H188" s="478">
        <v>1</v>
      </c>
      <c r="I188" s="479"/>
      <c r="J188" s="513">
        <f t="shared" si="24"/>
        <v>0</v>
      </c>
      <c r="K188" s="400"/>
    </row>
    <row r="189" spans="1:11" ht="13.8" hidden="1">
      <c r="A189" s="469">
        <v>613</v>
      </c>
      <c r="B189" s="1440" t="s">
        <v>13</v>
      </c>
      <c r="C189" s="1441"/>
      <c r="D189" s="1442"/>
      <c r="E189" s="512"/>
      <c r="F189" s="509">
        <v>1</v>
      </c>
      <c r="G189" s="512"/>
      <c r="H189" s="478">
        <v>1</v>
      </c>
      <c r="I189" s="479"/>
      <c r="J189" s="513">
        <f t="shared" si="24"/>
        <v>0</v>
      </c>
      <c r="K189" s="400"/>
    </row>
    <row r="190" spans="1:11" ht="13.8" hidden="1">
      <c r="A190" s="469">
        <v>613</v>
      </c>
      <c r="B190" s="1423" t="s">
        <v>15</v>
      </c>
      <c r="C190" s="1424"/>
      <c r="D190" s="1425"/>
      <c r="E190" s="512"/>
      <c r="F190" s="509">
        <v>1</v>
      </c>
      <c r="G190" s="512"/>
      <c r="H190" s="478">
        <v>1</v>
      </c>
      <c r="I190" s="477"/>
      <c r="J190" s="513">
        <f t="shared" si="24"/>
        <v>0</v>
      </c>
      <c r="K190" s="400"/>
    </row>
    <row r="191" spans="1:11" ht="14.4" hidden="1" thickBot="1">
      <c r="A191" s="514"/>
      <c r="B191" s="1426"/>
      <c r="C191" s="1427"/>
      <c r="D191" s="1428"/>
      <c r="E191" s="515"/>
      <c r="F191" s="509">
        <v>1</v>
      </c>
      <c r="G191" s="516"/>
      <c r="H191" s="484">
        <v>1</v>
      </c>
      <c r="I191" s="517"/>
      <c r="J191" s="518">
        <f t="shared" si="24"/>
        <v>0</v>
      </c>
      <c r="K191" s="400"/>
    </row>
    <row r="192" spans="1:11" ht="14.4" hidden="1" thickBot="1">
      <c r="A192" s="519"/>
      <c r="B192" s="486"/>
      <c r="C192" s="486"/>
      <c r="D192" s="486"/>
      <c r="E192" s="487"/>
      <c r="F192" s="488"/>
      <c r="G192" s="486"/>
      <c r="H192" s="489"/>
      <c r="I192" s="451" t="s">
        <v>95</v>
      </c>
      <c r="J192" s="520">
        <f>SUM(J185:J191)</f>
        <v>0</v>
      </c>
      <c r="K192" s="521"/>
    </row>
    <row r="193" spans="1:14" ht="13.8" thickBot="1"/>
    <row r="194" spans="1:14" ht="16.2" thickBot="1">
      <c r="A194" s="1429" t="s">
        <v>111</v>
      </c>
      <c r="B194" s="1430"/>
      <c r="C194" s="1430"/>
      <c r="D194" s="1430"/>
      <c r="E194" s="1430"/>
      <c r="F194" s="1430"/>
      <c r="G194" s="1430"/>
      <c r="H194" s="1430"/>
      <c r="I194" s="1430"/>
      <c r="J194" s="1430"/>
      <c r="K194" s="1431"/>
    </row>
    <row r="195" spans="1:14" ht="13.8">
      <c r="A195" s="1432" t="s">
        <v>98</v>
      </c>
      <c r="B195" s="1433"/>
      <c r="C195" s="1433"/>
      <c r="D195" s="1433"/>
      <c r="E195" s="524"/>
      <c r="F195" s="524"/>
      <c r="G195" s="524"/>
      <c r="H195" s="524"/>
      <c r="I195" s="524"/>
      <c r="J195" s="524"/>
      <c r="K195" s="525">
        <f>K41</f>
        <v>10022.307692307693</v>
      </c>
    </row>
    <row r="196" spans="1:14" ht="13.8">
      <c r="A196" s="1413" t="s">
        <v>5</v>
      </c>
      <c r="B196" s="1414"/>
      <c r="C196" s="1414"/>
      <c r="D196" s="1414"/>
      <c r="E196" s="526"/>
      <c r="F196" s="526"/>
      <c r="G196" s="526"/>
      <c r="H196" s="526"/>
      <c r="I196" s="526"/>
      <c r="J196" s="527">
        <f>J66</f>
        <v>16550</v>
      </c>
      <c r="K196" s="528"/>
    </row>
    <row r="197" spans="1:14" ht="13.8">
      <c r="A197" s="1413" t="s">
        <v>99</v>
      </c>
      <c r="B197" s="1414"/>
      <c r="C197" s="1414"/>
      <c r="D197" s="1414"/>
      <c r="E197" s="526"/>
      <c r="F197" s="526"/>
      <c r="G197" s="526"/>
      <c r="H197" s="526"/>
      <c r="I197" s="526"/>
      <c r="J197" s="526"/>
      <c r="K197" s="528">
        <f>K82</f>
        <v>23261.538461538461</v>
      </c>
    </row>
    <row r="198" spans="1:14" ht="13.8" hidden="1">
      <c r="A198" s="1413" t="s">
        <v>100</v>
      </c>
      <c r="B198" s="1414"/>
      <c r="C198" s="1414"/>
      <c r="D198" s="1414"/>
      <c r="E198" s="526"/>
      <c r="F198" s="526"/>
      <c r="G198" s="526"/>
      <c r="H198" s="526"/>
      <c r="I198" s="526"/>
      <c r="J198" s="527">
        <f>J92</f>
        <v>0</v>
      </c>
      <c r="K198" s="528"/>
    </row>
    <row r="199" spans="1:14" ht="13.8">
      <c r="A199" s="1413" t="s">
        <v>101</v>
      </c>
      <c r="B199" s="1414"/>
      <c r="C199" s="1414"/>
      <c r="D199" s="1414"/>
      <c r="E199" s="526"/>
      <c r="F199" s="526"/>
      <c r="G199" s="526"/>
      <c r="H199" s="526"/>
      <c r="I199" s="526"/>
      <c r="J199" s="526"/>
      <c r="K199" s="528">
        <f>K107</f>
        <v>1938.4615384615383</v>
      </c>
    </row>
    <row r="200" spans="1:14" ht="13.8">
      <c r="A200" s="1413" t="s">
        <v>102</v>
      </c>
      <c r="B200" s="1414"/>
      <c r="C200" s="1414"/>
      <c r="D200" s="1414"/>
      <c r="E200" s="526"/>
      <c r="F200" s="526"/>
      <c r="G200" s="526"/>
      <c r="H200" s="526"/>
      <c r="I200" s="526"/>
      <c r="J200" s="527">
        <f>J117</f>
        <v>500</v>
      </c>
      <c r="K200" s="528"/>
    </row>
    <row r="201" spans="1:14" ht="14.4" thickBot="1">
      <c r="A201" s="1413" t="s">
        <v>103</v>
      </c>
      <c r="B201" s="1414"/>
      <c r="C201" s="1414"/>
      <c r="D201" s="1414"/>
      <c r="E201" s="526"/>
      <c r="F201" s="526"/>
      <c r="G201" s="526"/>
      <c r="H201" s="526"/>
      <c r="I201" s="526"/>
      <c r="J201" s="527"/>
      <c r="K201" s="528">
        <f>K132</f>
        <v>7753.8461538461534</v>
      </c>
    </row>
    <row r="202" spans="1:14" ht="13.8" hidden="1">
      <c r="A202" s="1413" t="s">
        <v>104</v>
      </c>
      <c r="B202" s="1414"/>
      <c r="C202" s="1414"/>
      <c r="D202" s="1414"/>
      <c r="E202" s="526"/>
      <c r="F202" s="526"/>
      <c r="G202" s="526"/>
      <c r="H202" s="526"/>
      <c r="I202" s="526"/>
      <c r="J202" s="527">
        <f>J142</f>
        <v>0</v>
      </c>
      <c r="K202" s="528"/>
    </row>
    <row r="203" spans="1:14" ht="13.8" hidden="1">
      <c r="A203" s="1413" t="s">
        <v>105</v>
      </c>
      <c r="B203" s="1414"/>
      <c r="C203" s="1414"/>
      <c r="D203" s="1414"/>
      <c r="E203" s="526"/>
      <c r="F203" s="526"/>
      <c r="G203" s="526"/>
      <c r="H203" s="526"/>
      <c r="I203" s="526"/>
      <c r="J203" s="527"/>
      <c r="K203" s="528">
        <f>K157</f>
        <v>0</v>
      </c>
    </row>
    <row r="204" spans="1:14" ht="13.8" hidden="1">
      <c r="A204" s="1413" t="s">
        <v>106</v>
      </c>
      <c r="B204" s="1414"/>
      <c r="C204" s="1414"/>
      <c r="D204" s="1414"/>
      <c r="E204" s="526"/>
      <c r="F204" s="526"/>
      <c r="G204" s="526"/>
      <c r="H204" s="526"/>
      <c r="I204" s="526"/>
      <c r="J204" s="527">
        <f>J167</f>
        <v>0</v>
      </c>
      <c r="K204" s="528"/>
    </row>
    <row r="205" spans="1:14" ht="13.8" hidden="1">
      <c r="A205" s="1413" t="s">
        <v>107</v>
      </c>
      <c r="B205" s="1414"/>
      <c r="C205" s="1414"/>
      <c r="D205" s="1414"/>
      <c r="E205" s="526"/>
      <c r="F205" s="526"/>
      <c r="G205" s="526"/>
      <c r="H205" s="526"/>
      <c r="I205" s="526"/>
      <c r="J205" s="526"/>
      <c r="K205" s="528">
        <f>K182</f>
        <v>0</v>
      </c>
    </row>
    <row r="206" spans="1:14" ht="14.4" hidden="1" thickBot="1">
      <c r="A206" s="1415" t="s">
        <v>108</v>
      </c>
      <c r="B206" s="1416"/>
      <c r="C206" s="1416"/>
      <c r="D206" s="1416"/>
      <c r="E206" s="529"/>
      <c r="F206" s="529"/>
      <c r="G206" s="529"/>
      <c r="H206" s="529"/>
      <c r="I206" s="529"/>
      <c r="J206" s="530">
        <f>J192</f>
        <v>0</v>
      </c>
      <c r="K206" s="531"/>
    </row>
    <row r="207" spans="1:14" s="537" customFormat="1" ht="13.8">
      <c r="A207" s="532"/>
      <c r="B207" s="533"/>
      <c r="C207" s="533"/>
      <c r="D207" s="533"/>
      <c r="E207" s="1417" t="s">
        <v>109</v>
      </c>
      <c r="F207" s="1418"/>
      <c r="G207" s="1418"/>
      <c r="H207" s="534"/>
      <c r="I207" s="534"/>
      <c r="J207" s="535"/>
      <c r="K207" s="536">
        <f>SUM(K195:K206)</f>
        <v>42976.153846153851</v>
      </c>
      <c r="N207" s="538"/>
    </row>
    <row r="208" spans="1:14" s="537" customFormat="1" ht="14.4" thickBot="1">
      <c r="A208" s="539"/>
      <c r="B208" s="540"/>
      <c r="C208" s="540"/>
      <c r="D208" s="540"/>
      <c r="E208" s="1419" t="s">
        <v>110</v>
      </c>
      <c r="F208" s="1420"/>
      <c r="G208" s="1420"/>
      <c r="H208" s="541"/>
      <c r="I208" s="541"/>
      <c r="J208" s="542">
        <f>SUM(J195:J207)</f>
        <v>17050</v>
      </c>
      <c r="K208" s="543"/>
      <c r="N208" s="538"/>
    </row>
    <row r="209" spans="1:16" ht="16.2" thickBot="1">
      <c r="A209" s="544"/>
      <c r="B209" s="545"/>
      <c r="C209" s="545"/>
      <c r="D209" s="328"/>
      <c r="E209" s="328"/>
      <c r="F209" s="328"/>
      <c r="G209" s="523"/>
      <c r="H209" s="546"/>
      <c r="I209" s="547" t="s">
        <v>112</v>
      </c>
      <c r="J209" s="1421">
        <f>K207+J208</f>
        <v>60026.153846153851</v>
      </c>
      <c r="K209" s="1422"/>
    </row>
    <row r="210" spans="1:16" ht="32.4" hidden="1" customHeight="1" thickBot="1"/>
    <row r="211" spans="1:16" ht="18" hidden="1" thickBot="1">
      <c r="A211" s="1405" t="s">
        <v>137</v>
      </c>
      <c r="B211" s="1406"/>
      <c r="C211" s="1406"/>
      <c r="D211" s="1406"/>
      <c r="E211" s="1406"/>
      <c r="F211" s="1406"/>
      <c r="G211" s="1406"/>
      <c r="H211" s="1406"/>
      <c r="I211" s="1406"/>
      <c r="J211" s="1406"/>
      <c r="K211" s="1407"/>
    </row>
    <row r="212" spans="1:16" ht="14.4" hidden="1" thickBot="1">
      <c r="A212" s="548"/>
      <c r="B212" s="549"/>
      <c r="C212" s="550"/>
      <c r="D212" s="551"/>
      <c r="E212" s="552"/>
      <c r="F212" s="552"/>
      <c r="G212" s="553"/>
      <c r="H212" s="549"/>
      <c r="I212" s="554"/>
    </row>
    <row r="213" spans="1:16" ht="14.4" hidden="1" thickBot="1">
      <c r="A213" s="555" t="s">
        <v>51</v>
      </c>
      <c r="B213" s="1397" t="s">
        <v>138</v>
      </c>
      <c r="C213" s="1398"/>
      <c r="D213" s="1398"/>
      <c r="E213" s="1398"/>
      <c r="F213" s="1398"/>
      <c r="G213" s="1398"/>
      <c r="H213" s="1398"/>
      <c r="I213" s="1398"/>
      <c r="J213" s="1398"/>
      <c r="K213" s="1399"/>
      <c r="N213" s="336"/>
      <c r="P213" s="337"/>
    </row>
    <row r="214" spans="1:16" ht="13.8" hidden="1">
      <c r="A214" s="556">
        <v>701</v>
      </c>
      <c r="B214" s="1400" t="s">
        <v>139</v>
      </c>
      <c r="C214" s="1401"/>
      <c r="D214" s="1401"/>
      <c r="E214" s="1401"/>
      <c r="F214" s="1401"/>
      <c r="G214" s="1401"/>
      <c r="H214" s="1401"/>
      <c r="I214" s="1401"/>
      <c r="J214" s="1408"/>
      <c r="K214" s="557"/>
      <c r="N214" s="336"/>
      <c r="P214" s="337"/>
    </row>
    <row r="215" spans="1:16" ht="13.8" hidden="1">
      <c r="A215" s="558"/>
      <c r="B215" s="1382" t="s">
        <v>140</v>
      </c>
      <c r="C215" s="1383"/>
      <c r="D215" s="1383"/>
      <c r="E215" s="1383"/>
      <c r="F215" s="1383"/>
      <c r="G215" s="1383"/>
      <c r="H215" s="1383"/>
      <c r="I215" s="1383"/>
      <c r="J215" s="1409"/>
      <c r="K215" s="559"/>
      <c r="N215" s="336"/>
      <c r="P215" s="337"/>
    </row>
    <row r="216" spans="1:16" ht="13.8" hidden="1">
      <c r="A216" s="558"/>
      <c r="B216" s="1382" t="s">
        <v>141</v>
      </c>
      <c r="C216" s="1383"/>
      <c r="D216" s="1383"/>
      <c r="E216" s="1383"/>
      <c r="F216" s="1383"/>
      <c r="G216" s="1383"/>
      <c r="H216" s="1383"/>
      <c r="I216" s="1383"/>
      <c r="J216" s="1409"/>
      <c r="K216" s="559"/>
      <c r="N216" s="336"/>
      <c r="P216" s="337"/>
    </row>
    <row r="217" spans="1:16" ht="14.4" hidden="1" thickBot="1">
      <c r="A217" s="560"/>
      <c r="B217" s="1410"/>
      <c r="C217" s="1411"/>
      <c r="D217" s="1411"/>
      <c r="E217" s="1411"/>
      <c r="F217" s="1411"/>
      <c r="G217" s="1411"/>
      <c r="H217" s="1411"/>
      <c r="I217" s="1411"/>
      <c r="J217" s="1412"/>
      <c r="K217" s="561"/>
      <c r="N217" s="336"/>
      <c r="P217" s="337"/>
    </row>
    <row r="218" spans="1:16" ht="17.399999999999999" hidden="1" thickBot="1">
      <c r="A218" s="548"/>
      <c r="B218" s="562"/>
      <c r="C218" s="562"/>
      <c r="D218" s="562"/>
      <c r="E218" s="562"/>
      <c r="F218" s="562"/>
      <c r="G218" s="563"/>
      <c r="H218" s="564"/>
      <c r="I218" s="565"/>
      <c r="J218" s="566" t="s">
        <v>142</v>
      </c>
      <c r="K218" s="567">
        <f>SUM(K214:K217)</f>
        <v>0</v>
      </c>
      <c r="N218" s="336"/>
      <c r="P218" s="337"/>
    </row>
    <row r="219" spans="1:16" ht="14.4" hidden="1" thickBot="1">
      <c r="A219" s="548"/>
      <c r="B219" s="568"/>
      <c r="C219" s="569"/>
      <c r="D219" s="570"/>
      <c r="E219" s="571"/>
      <c r="F219" s="571"/>
      <c r="G219" s="572"/>
      <c r="H219" s="573"/>
      <c r="I219" s="574"/>
    </row>
    <row r="220" spans="1:16" ht="14.4" hidden="1" thickBot="1">
      <c r="A220" s="555" t="s">
        <v>51</v>
      </c>
      <c r="B220" s="1397" t="s">
        <v>143</v>
      </c>
      <c r="C220" s="1398"/>
      <c r="D220" s="1398"/>
      <c r="E220" s="1398"/>
      <c r="F220" s="1398"/>
      <c r="G220" s="1398"/>
      <c r="H220" s="1398"/>
      <c r="I220" s="1398"/>
      <c r="J220" s="1398"/>
      <c r="K220" s="1399"/>
      <c r="N220" s="336"/>
      <c r="P220" s="337"/>
    </row>
    <row r="221" spans="1:16" ht="13.8" hidden="1">
      <c r="A221" s="556">
        <v>703</v>
      </c>
      <c r="B221" s="1400" t="s">
        <v>144</v>
      </c>
      <c r="C221" s="1401"/>
      <c r="D221" s="1401"/>
      <c r="E221" s="1401"/>
      <c r="F221" s="1401"/>
      <c r="G221" s="1401"/>
      <c r="H221" s="1401"/>
      <c r="I221" s="1401"/>
      <c r="J221" s="1401"/>
      <c r="K221" s="575"/>
      <c r="N221" s="336"/>
      <c r="P221" s="337"/>
    </row>
    <row r="222" spans="1:16" ht="13.8" hidden="1">
      <c r="A222" s="558"/>
      <c r="B222" s="1382" t="s">
        <v>145</v>
      </c>
      <c r="C222" s="1383"/>
      <c r="D222" s="1383"/>
      <c r="E222" s="1383"/>
      <c r="F222" s="1383"/>
      <c r="G222" s="1383"/>
      <c r="H222" s="1383"/>
      <c r="I222" s="1383"/>
      <c r="J222" s="1383"/>
      <c r="K222" s="576"/>
      <c r="N222" s="336"/>
      <c r="P222" s="337"/>
    </row>
    <row r="223" spans="1:16" ht="13.8" hidden="1">
      <c r="A223" s="558"/>
      <c r="B223" s="1382" t="s">
        <v>146</v>
      </c>
      <c r="C223" s="1383"/>
      <c r="D223" s="1383"/>
      <c r="E223" s="1383"/>
      <c r="F223" s="1383"/>
      <c r="G223" s="1383"/>
      <c r="H223" s="1383"/>
      <c r="I223" s="1383"/>
      <c r="J223" s="1383"/>
      <c r="K223" s="576"/>
      <c r="N223" s="336"/>
      <c r="P223" s="337"/>
    </row>
    <row r="224" spans="1:16" ht="13.8" hidden="1">
      <c r="A224" s="558"/>
      <c r="B224" s="1382" t="s">
        <v>147</v>
      </c>
      <c r="C224" s="1383"/>
      <c r="D224" s="1383"/>
      <c r="E224" s="1383"/>
      <c r="F224" s="1383"/>
      <c r="G224" s="1383"/>
      <c r="H224" s="1383"/>
      <c r="I224" s="1383"/>
      <c r="J224" s="1383"/>
      <c r="K224" s="576"/>
      <c r="N224" s="336"/>
      <c r="P224" s="337"/>
    </row>
    <row r="225" spans="1:16" ht="13.8" hidden="1">
      <c r="A225" s="558"/>
      <c r="B225" s="1403" t="s">
        <v>148</v>
      </c>
      <c r="C225" s="1404"/>
      <c r="D225" s="1404"/>
      <c r="E225" s="1404"/>
      <c r="F225" s="1404"/>
      <c r="G225" s="1404"/>
      <c r="H225" s="1404"/>
      <c r="I225" s="1404"/>
      <c r="J225" s="1404"/>
      <c r="K225" s="576"/>
      <c r="N225" s="336"/>
      <c r="P225" s="337"/>
    </row>
    <row r="226" spans="1:16" ht="14.4" hidden="1" thickBot="1">
      <c r="A226" s="560"/>
      <c r="B226" s="1395"/>
      <c r="C226" s="1396"/>
      <c r="D226" s="1396"/>
      <c r="E226" s="1396"/>
      <c r="F226" s="1396"/>
      <c r="G226" s="1396"/>
      <c r="H226" s="1396"/>
      <c r="I226" s="1396"/>
      <c r="J226" s="1396"/>
      <c r="K226" s="577"/>
      <c r="N226" s="336"/>
      <c r="P226" s="337"/>
    </row>
    <row r="227" spans="1:16" ht="17.399999999999999" hidden="1" thickBot="1">
      <c r="A227" s="548"/>
      <c r="B227" s="578"/>
      <c r="C227" s="579"/>
      <c r="D227" s="579"/>
      <c r="E227" s="579"/>
      <c r="F227" s="580"/>
      <c r="G227" s="563"/>
      <c r="H227" s="581"/>
      <c r="I227" s="582"/>
      <c r="J227" s="583" t="s">
        <v>149</v>
      </c>
      <c r="K227" s="584">
        <f>SUM(K221:K226)</f>
        <v>0</v>
      </c>
      <c r="N227" s="336"/>
      <c r="P227" s="337"/>
    </row>
    <row r="228" spans="1:16" ht="17.399999999999999" hidden="1" thickBot="1">
      <c r="A228" s="548"/>
      <c r="B228" s="585"/>
      <c r="C228" s="586"/>
      <c r="D228" s="587"/>
      <c r="E228" s="588"/>
      <c r="F228" s="585"/>
      <c r="G228" s="589"/>
      <c r="H228" s="590"/>
      <c r="I228" s="591"/>
    </row>
    <row r="229" spans="1:16" ht="14.4" hidden="1" thickBot="1">
      <c r="A229" s="555" t="s">
        <v>51</v>
      </c>
      <c r="B229" s="1397" t="s">
        <v>150</v>
      </c>
      <c r="C229" s="1398"/>
      <c r="D229" s="1398"/>
      <c r="E229" s="1398"/>
      <c r="F229" s="1398"/>
      <c r="G229" s="1398"/>
      <c r="H229" s="1398"/>
      <c r="I229" s="1398"/>
      <c r="J229" s="1398"/>
      <c r="K229" s="1399"/>
      <c r="N229" s="336"/>
      <c r="P229" s="337"/>
    </row>
    <row r="230" spans="1:16" ht="13.8" hidden="1">
      <c r="A230" s="556">
        <v>737</v>
      </c>
      <c r="B230" s="1400" t="s">
        <v>151</v>
      </c>
      <c r="C230" s="1401"/>
      <c r="D230" s="1401"/>
      <c r="E230" s="1401"/>
      <c r="F230" s="1401"/>
      <c r="G230" s="1401"/>
      <c r="H230" s="1401"/>
      <c r="I230" s="1401"/>
      <c r="J230" s="1402"/>
      <c r="K230" s="592"/>
      <c r="N230" s="336"/>
      <c r="P230" s="337"/>
    </row>
    <row r="231" spans="1:16" ht="13.8" hidden="1">
      <c r="A231" s="593"/>
      <c r="B231" s="1382" t="s">
        <v>152</v>
      </c>
      <c r="C231" s="1383"/>
      <c r="D231" s="1383"/>
      <c r="E231" s="1383"/>
      <c r="F231" s="1383"/>
      <c r="G231" s="1383"/>
      <c r="H231" s="1383"/>
      <c r="I231" s="1383"/>
      <c r="J231" s="1384"/>
      <c r="K231" s="594"/>
      <c r="N231" s="336"/>
      <c r="P231" s="337"/>
    </row>
    <row r="232" spans="1:16" ht="13.8" hidden="1">
      <c r="A232" s="593"/>
      <c r="B232" s="1382" t="s">
        <v>153</v>
      </c>
      <c r="C232" s="1383"/>
      <c r="D232" s="1383"/>
      <c r="E232" s="1383"/>
      <c r="F232" s="1383"/>
      <c r="G232" s="1383"/>
      <c r="H232" s="1383"/>
      <c r="I232" s="1383"/>
      <c r="J232" s="1384"/>
      <c r="K232" s="594"/>
      <c r="N232" s="336"/>
      <c r="P232" s="337"/>
    </row>
    <row r="233" spans="1:16" ht="13.8" hidden="1">
      <c r="A233" s="593"/>
      <c r="B233" s="1382" t="s">
        <v>154</v>
      </c>
      <c r="C233" s="1383"/>
      <c r="D233" s="1383"/>
      <c r="E233" s="1383"/>
      <c r="F233" s="1383"/>
      <c r="G233" s="1383"/>
      <c r="H233" s="1383"/>
      <c r="I233" s="1383"/>
      <c r="J233" s="1384"/>
      <c r="K233" s="594"/>
      <c r="N233" s="336"/>
      <c r="P233" s="337"/>
    </row>
    <row r="234" spans="1:16" ht="13.8" hidden="1">
      <c r="A234" s="558"/>
      <c r="B234" s="1382" t="s">
        <v>155</v>
      </c>
      <c r="C234" s="1383"/>
      <c r="D234" s="1383"/>
      <c r="E234" s="1383"/>
      <c r="F234" s="1383"/>
      <c r="G234" s="1383"/>
      <c r="H234" s="1383"/>
      <c r="I234" s="1383"/>
      <c r="J234" s="1384"/>
      <c r="K234" s="594"/>
      <c r="N234" s="336"/>
      <c r="P234" s="337"/>
    </row>
    <row r="235" spans="1:16" ht="14.4" hidden="1" thickBot="1">
      <c r="A235" s="595"/>
      <c r="B235" s="1385"/>
      <c r="C235" s="1386"/>
      <c r="D235" s="1386"/>
      <c r="E235" s="1386"/>
      <c r="F235" s="1386"/>
      <c r="G235" s="1386"/>
      <c r="H235" s="1386"/>
      <c r="I235" s="1386"/>
      <c r="J235" s="1387"/>
      <c r="K235" s="596"/>
      <c r="N235" s="336"/>
      <c r="P235" s="337"/>
    </row>
    <row r="236" spans="1:16" ht="17.399999999999999" hidden="1" thickBot="1">
      <c r="A236" s="548"/>
      <c r="B236" s="578"/>
      <c r="C236" s="579"/>
      <c r="D236" s="579"/>
      <c r="E236" s="579"/>
      <c r="F236" s="580"/>
      <c r="G236" s="563"/>
      <c r="H236" s="581"/>
      <c r="I236" s="582"/>
      <c r="J236" s="583" t="s">
        <v>149</v>
      </c>
      <c r="K236" s="584">
        <f>SUM(K230:K235)</f>
        <v>0</v>
      </c>
      <c r="N236" s="336"/>
      <c r="P236" s="337"/>
    </row>
    <row r="237" spans="1:16" ht="17.399999999999999" hidden="1" thickBot="1">
      <c r="A237" s="548"/>
      <c r="B237" s="585"/>
      <c r="C237" s="586"/>
      <c r="D237" s="587"/>
      <c r="E237" s="588"/>
      <c r="F237" s="585"/>
      <c r="G237" s="589"/>
      <c r="H237" s="590"/>
      <c r="I237" s="591"/>
    </row>
    <row r="238" spans="1:16" ht="14.4" hidden="1" thickBot="1">
      <c r="A238" s="548"/>
      <c r="B238" s="1388" t="s">
        <v>156</v>
      </c>
      <c r="C238" s="1389"/>
      <c r="D238" s="1389"/>
      <c r="E238" s="1389"/>
      <c r="F238" s="1389"/>
      <c r="G238" s="1389"/>
      <c r="H238" s="1389"/>
      <c r="I238" s="1389"/>
      <c r="J238" s="1389"/>
      <c r="K238" s="1390"/>
      <c r="N238" s="336"/>
      <c r="P238" s="337"/>
    </row>
    <row r="239" spans="1:16" ht="14.4" hidden="1" thickBot="1">
      <c r="A239" s="548"/>
      <c r="B239" s="597" t="s">
        <v>156</v>
      </c>
      <c r="C239" s="598" t="s">
        <v>157</v>
      </c>
      <c r="D239" s="1391"/>
      <c r="E239" s="1392"/>
      <c r="F239" s="1392"/>
      <c r="G239" s="1392"/>
      <c r="H239" s="1392"/>
      <c r="I239" s="1392"/>
      <c r="J239" s="1393"/>
      <c r="K239" s="599"/>
      <c r="N239" s="336"/>
      <c r="P239" s="337"/>
    </row>
    <row r="240" spans="1:16" ht="17.399999999999999" hidden="1" thickBot="1">
      <c r="A240" s="548"/>
      <c r="B240" s="578"/>
      <c r="C240" s="579"/>
      <c r="D240" s="579"/>
      <c r="E240" s="579"/>
      <c r="F240" s="580"/>
      <c r="G240" s="563"/>
      <c r="H240" s="564"/>
      <c r="I240" s="565"/>
      <c r="J240" s="566" t="s">
        <v>158</v>
      </c>
      <c r="K240" s="567">
        <f>K239</f>
        <v>0</v>
      </c>
      <c r="N240" s="336"/>
      <c r="P240" s="337"/>
    </row>
    <row r="241" spans="1:16" ht="17.399999999999999" hidden="1" thickBot="1">
      <c r="A241" s="548"/>
      <c r="B241" s="549"/>
      <c r="C241" s="549"/>
      <c r="D241" s="600"/>
      <c r="E241" s="552"/>
      <c r="F241" s="601"/>
      <c r="G241" s="602"/>
      <c r="H241" s="603"/>
      <c r="I241" s="604"/>
    </row>
    <row r="242" spans="1:16" ht="17.399999999999999" hidden="1" thickBot="1">
      <c r="A242" s="548"/>
      <c r="B242" s="605"/>
      <c r="C242" s="605"/>
      <c r="D242" s="606"/>
      <c r="E242" s="607"/>
      <c r="F242" s="399"/>
      <c r="H242" s="608"/>
      <c r="I242" s="609"/>
      <c r="J242" s="610" t="s">
        <v>159</v>
      </c>
      <c r="K242" s="584">
        <f>K240+K227+K218+K236</f>
        <v>0</v>
      </c>
    </row>
    <row r="243" spans="1:16" ht="14.4" hidden="1" thickBot="1">
      <c r="A243" s="548"/>
      <c r="B243" s="549"/>
      <c r="C243" s="549"/>
      <c r="D243" s="611"/>
      <c r="E243" s="612"/>
      <c r="F243" s="613"/>
      <c r="G243" s="614"/>
      <c r="H243" s="613"/>
      <c r="I243" s="613"/>
    </row>
    <row r="244" spans="1:16" ht="19.8" hidden="1" thickBot="1">
      <c r="A244" s="615"/>
      <c r="B244" s="615"/>
      <c r="C244" s="615"/>
      <c r="D244" s="615"/>
      <c r="E244" s="615"/>
      <c r="F244" s="616"/>
      <c r="G244" s="1394" t="s">
        <v>160</v>
      </c>
      <c r="H244" s="1394"/>
      <c r="I244" s="1394"/>
      <c r="J244" s="1394"/>
      <c r="K244" s="617">
        <f>K242-J209</f>
        <v>-60026.153846153851</v>
      </c>
      <c r="N244" s="336"/>
      <c r="P244" s="337"/>
    </row>
    <row r="245" spans="1:16" hidden="1"/>
    <row r="246" spans="1:16" hidden="1"/>
    <row r="247" spans="1:16" hidden="1"/>
  </sheetData>
  <mergeCells count="239">
    <mergeCell ref="A8:B8"/>
    <mergeCell ref="D8:F8"/>
    <mergeCell ref="G8:H8"/>
    <mergeCell ref="A9:B9"/>
    <mergeCell ref="D9:F9"/>
    <mergeCell ref="G9:H9"/>
    <mergeCell ref="A1:B1"/>
    <mergeCell ref="C1:E1"/>
    <mergeCell ref="F1:G1"/>
    <mergeCell ref="B3:C3"/>
    <mergeCell ref="A5:K5"/>
    <mergeCell ref="A7:B7"/>
    <mergeCell ref="D7:F7"/>
    <mergeCell ref="G7:H7"/>
    <mergeCell ref="A13:B13"/>
    <mergeCell ref="D13:F13"/>
    <mergeCell ref="G13:H13"/>
    <mergeCell ref="A14:B14"/>
    <mergeCell ref="D14:F14"/>
    <mergeCell ref="A15:B15"/>
    <mergeCell ref="D15:F15"/>
    <mergeCell ref="G15:H15"/>
    <mergeCell ref="A10:B10"/>
    <mergeCell ref="D10:F10"/>
    <mergeCell ref="G10:H10"/>
    <mergeCell ref="A11:B11"/>
    <mergeCell ref="D11:F11"/>
    <mergeCell ref="A12:B12"/>
    <mergeCell ref="D12:F12"/>
    <mergeCell ref="G12:H12"/>
    <mergeCell ref="A18:B18"/>
    <mergeCell ref="D18:F18"/>
    <mergeCell ref="G18:H18"/>
    <mergeCell ref="A19:B19"/>
    <mergeCell ref="D19:F19"/>
    <mergeCell ref="G19:H19"/>
    <mergeCell ref="A16:B16"/>
    <mergeCell ref="D16:F16"/>
    <mergeCell ref="G16:H16"/>
    <mergeCell ref="A17:B17"/>
    <mergeCell ref="D17:F17"/>
    <mergeCell ref="G17:H17"/>
    <mergeCell ref="A22:B22"/>
    <mergeCell ref="D22:F22"/>
    <mergeCell ref="G22:H22"/>
    <mergeCell ref="A26:K26"/>
    <mergeCell ref="A28:K28"/>
    <mergeCell ref="B30:C30"/>
    <mergeCell ref="A20:B20"/>
    <mergeCell ref="D20:F20"/>
    <mergeCell ref="G20:H20"/>
    <mergeCell ref="A21:B21"/>
    <mergeCell ref="D21:F21"/>
    <mergeCell ref="G21:H21"/>
    <mergeCell ref="B37:C37"/>
    <mergeCell ref="D41:E41"/>
    <mergeCell ref="B43:D43"/>
    <mergeCell ref="B44:D44"/>
    <mergeCell ref="B45:D45"/>
    <mergeCell ref="B46:D46"/>
    <mergeCell ref="B31:C31"/>
    <mergeCell ref="B32:C32"/>
    <mergeCell ref="B33:C33"/>
    <mergeCell ref="B34:C34"/>
    <mergeCell ref="B35:C35"/>
    <mergeCell ref="B36:C36"/>
    <mergeCell ref="B53:D53"/>
    <mergeCell ref="B54:D54"/>
    <mergeCell ref="B55:D55"/>
    <mergeCell ref="B56:D56"/>
    <mergeCell ref="B57:D57"/>
    <mergeCell ref="B58:D58"/>
    <mergeCell ref="B47:D47"/>
    <mergeCell ref="B48:D48"/>
    <mergeCell ref="B49:D49"/>
    <mergeCell ref="B50:D50"/>
    <mergeCell ref="B51:D51"/>
    <mergeCell ref="B52:D52"/>
    <mergeCell ref="B65:D65"/>
    <mergeCell ref="A69:H69"/>
    <mergeCell ref="I69:J69"/>
    <mergeCell ref="B71:C71"/>
    <mergeCell ref="B72:C72"/>
    <mergeCell ref="B73:C73"/>
    <mergeCell ref="B59:D59"/>
    <mergeCell ref="B60:D60"/>
    <mergeCell ref="B61:D61"/>
    <mergeCell ref="B62:D62"/>
    <mergeCell ref="B63:D63"/>
    <mergeCell ref="B64:D64"/>
    <mergeCell ref="I82:J82"/>
    <mergeCell ref="B84:D84"/>
    <mergeCell ref="B85:D85"/>
    <mergeCell ref="B74:C74"/>
    <mergeCell ref="B75:C75"/>
    <mergeCell ref="B76:C76"/>
    <mergeCell ref="B77:C77"/>
    <mergeCell ref="B78:C78"/>
    <mergeCell ref="B79:C79"/>
    <mergeCell ref="B86:D86"/>
    <mergeCell ref="B87:D87"/>
    <mergeCell ref="B88:D88"/>
    <mergeCell ref="B89:D89"/>
    <mergeCell ref="B90:D90"/>
    <mergeCell ref="B91:D91"/>
    <mergeCell ref="B80:C80"/>
    <mergeCell ref="B81:C81"/>
    <mergeCell ref="D82:E82"/>
    <mergeCell ref="B100:C100"/>
    <mergeCell ref="B101:C101"/>
    <mergeCell ref="B102:C102"/>
    <mergeCell ref="B103:C103"/>
    <mergeCell ref="B104:C104"/>
    <mergeCell ref="B105:C105"/>
    <mergeCell ref="A94:H94"/>
    <mergeCell ref="I94:J94"/>
    <mergeCell ref="B96:C96"/>
    <mergeCell ref="B97:C97"/>
    <mergeCell ref="B98:C98"/>
    <mergeCell ref="B99:C99"/>
    <mergeCell ref="B112:D112"/>
    <mergeCell ref="B113:D113"/>
    <mergeCell ref="B114:D114"/>
    <mergeCell ref="B115:D115"/>
    <mergeCell ref="B116:D116"/>
    <mergeCell ref="A119:H119"/>
    <mergeCell ref="B106:C106"/>
    <mergeCell ref="D107:E107"/>
    <mergeCell ref="I107:J107"/>
    <mergeCell ref="B109:D109"/>
    <mergeCell ref="B110:D110"/>
    <mergeCell ref="B111:D111"/>
    <mergeCell ref="B126:C126"/>
    <mergeCell ref="B127:C127"/>
    <mergeCell ref="B128:C128"/>
    <mergeCell ref="B129:C129"/>
    <mergeCell ref="B130:C130"/>
    <mergeCell ref="B131:C131"/>
    <mergeCell ref="I119:J119"/>
    <mergeCell ref="B121:C121"/>
    <mergeCell ref="B122:C122"/>
    <mergeCell ref="B123:C123"/>
    <mergeCell ref="B124:C124"/>
    <mergeCell ref="B125:C125"/>
    <mergeCell ref="B138:D138"/>
    <mergeCell ref="B139:D139"/>
    <mergeCell ref="B140:D140"/>
    <mergeCell ref="B141:D141"/>
    <mergeCell ref="A144:H144"/>
    <mergeCell ref="I144:J144"/>
    <mergeCell ref="D132:E132"/>
    <mergeCell ref="I132:J132"/>
    <mergeCell ref="B134:D134"/>
    <mergeCell ref="B135:D135"/>
    <mergeCell ref="B136:D136"/>
    <mergeCell ref="B137:D137"/>
    <mergeCell ref="B152:C152"/>
    <mergeCell ref="B153:C153"/>
    <mergeCell ref="B154:C154"/>
    <mergeCell ref="B155:C155"/>
    <mergeCell ref="B156:C156"/>
    <mergeCell ref="D157:E157"/>
    <mergeCell ref="B146:C146"/>
    <mergeCell ref="B147:C147"/>
    <mergeCell ref="B148:C148"/>
    <mergeCell ref="B149:C149"/>
    <mergeCell ref="B150:C150"/>
    <mergeCell ref="B151:C151"/>
    <mergeCell ref="B164:D164"/>
    <mergeCell ref="B165:D165"/>
    <mergeCell ref="B166:D166"/>
    <mergeCell ref="A169:H169"/>
    <mergeCell ref="I169:J169"/>
    <mergeCell ref="B171:C171"/>
    <mergeCell ref="I157:J157"/>
    <mergeCell ref="B159:D159"/>
    <mergeCell ref="B160:D160"/>
    <mergeCell ref="B161:D161"/>
    <mergeCell ref="B162:D162"/>
    <mergeCell ref="B163:D163"/>
    <mergeCell ref="B178:C178"/>
    <mergeCell ref="B179:C179"/>
    <mergeCell ref="B180:C180"/>
    <mergeCell ref="B181:C181"/>
    <mergeCell ref="D182:E182"/>
    <mergeCell ref="I182:J182"/>
    <mergeCell ref="B172:C172"/>
    <mergeCell ref="B173:C173"/>
    <mergeCell ref="B174:C174"/>
    <mergeCell ref="B175:C175"/>
    <mergeCell ref="B176:C176"/>
    <mergeCell ref="B177:C177"/>
    <mergeCell ref="B190:D190"/>
    <mergeCell ref="B191:D191"/>
    <mergeCell ref="A194:K194"/>
    <mergeCell ref="A195:D195"/>
    <mergeCell ref="A196:D196"/>
    <mergeCell ref="A197:D197"/>
    <mergeCell ref="B184:D184"/>
    <mergeCell ref="B185:D185"/>
    <mergeCell ref="B186:D186"/>
    <mergeCell ref="B187:D187"/>
    <mergeCell ref="B188:D188"/>
    <mergeCell ref="B189:D189"/>
    <mergeCell ref="A204:D204"/>
    <mergeCell ref="A205:D205"/>
    <mergeCell ref="A206:D206"/>
    <mergeCell ref="E207:G207"/>
    <mergeCell ref="E208:G208"/>
    <mergeCell ref="J209:K209"/>
    <mergeCell ref="A198:D198"/>
    <mergeCell ref="A199:D199"/>
    <mergeCell ref="A200:D200"/>
    <mergeCell ref="A201:D201"/>
    <mergeCell ref="A202:D202"/>
    <mergeCell ref="A203:D203"/>
    <mergeCell ref="B220:K220"/>
    <mergeCell ref="B221:J221"/>
    <mergeCell ref="B222:J222"/>
    <mergeCell ref="B223:J223"/>
    <mergeCell ref="B224:J224"/>
    <mergeCell ref="B225:J225"/>
    <mergeCell ref="A211:K211"/>
    <mergeCell ref="B213:K213"/>
    <mergeCell ref="B214:J214"/>
    <mergeCell ref="B215:J215"/>
    <mergeCell ref="B216:J216"/>
    <mergeCell ref="B217:J217"/>
    <mergeCell ref="B234:J234"/>
    <mergeCell ref="B235:J235"/>
    <mergeCell ref="B238:K238"/>
    <mergeCell ref="D239:J239"/>
    <mergeCell ref="G244:J244"/>
    <mergeCell ref="B226:J226"/>
    <mergeCell ref="B229:K229"/>
    <mergeCell ref="B230:J230"/>
    <mergeCell ref="B231:J231"/>
    <mergeCell ref="B232:J232"/>
    <mergeCell ref="B233:J233"/>
  </mergeCells>
  <conditionalFormatting sqref="K3 K244">
    <cfRule type="cellIs" dxfId="1" priority="2" stopIfTrue="1" operator="lessThan">
      <formula>0</formula>
    </cfRule>
  </conditionalFormatting>
  <conditionalFormatting sqref="N1:N3 A2:M2 A3:B3">
    <cfRule type="cellIs" dxfId="0" priority="1" stopIfTrue="1" operator="lessThan">
      <formula>0</formula>
    </cfRule>
  </conditionalFormatting>
  <dataValidations count="4">
    <dataValidation type="list" allowBlank="1" showInputMessage="1" showErrorMessage="1" sqref="G31:G40 G72:G81 G97:G106 G122:G131 G147:G156 G172:G181" xr:uid="{B7A48967-EC5D-42A3-ADDF-21C044343210}">
      <formula1>"Jour,Semaine,Mois"</formula1>
    </dataValidation>
    <dataValidation type="list" allowBlank="1" showInputMessage="1" showErrorMessage="1" sqref="E31:E40 E72:E81 E97:E106 E122:E131 E147:E156 E172:E181" xr:uid="{DBC48D92-AEEC-4E94-B8E9-B44332E65EFD}">
      <formula1>"5jours/sem,6jours/sem"</formula1>
    </dataValidation>
    <dataValidation type="whole" allowBlank="1" showInputMessage="1" showErrorMessage="1" sqref="H172:H181 H97:H106 H72:H81 H31:H40 H147:H156 H122:H131" xr:uid="{A8C9940F-FD1B-4753-9390-2222F02F9809}">
      <formula1>0</formula1>
      <formula2>128</formula2>
    </dataValidation>
    <dataValidation type="list" allowBlank="1" showInputMessage="1" sqref="K1" xr:uid="{714A9AB4-B5AB-4615-88AB-EA6E28CDFDCA}">
      <mc:AlternateContent xmlns:x12ac="http://schemas.microsoft.com/office/spreadsheetml/2011/1/ac" xmlns:mc="http://schemas.openxmlformats.org/markup-compatibility/2006">
        <mc:Choice Requires="x12ac">
          <x12ac:list>"1,50","1,45","1,42","1,40"</x12ac:list>
        </mc:Choice>
        <mc:Fallback>
          <formula1>"1,50,1,45,1,42,1,40"</formula1>
        </mc:Fallback>
      </mc:AlternateContent>
    </dataValidation>
  </dataValidations>
  <pageMargins left="0.7" right="0.7" top="0.75" bottom="0.75" header="0.3" footer="0.3"/>
  <pageSetup paperSize="9" scale="6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B139A-9BD1-49AF-8A9B-A3B7435BBBA1}">
  <sheetPr>
    <tabColor theme="4"/>
  </sheetPr>
  <dimension ref="A1:J38"/>
  <sheetViews>
    <sheetView workbookViewId="0">
      <selection activeCell="B9" sqref="B9"/>
    </sheetView>
    <sheetView workbookViewId="1"/>
  </sheetViews>
  <sheetFormatPr baseColWidth="10" defaultRowHeight="14.4"/>
  <cols>
    <col min="1" max="1" width="25.44140625" style="9" customWidth="1"/>
    <col min="2" max="3" width="11.5546875" style="9"/>
    <col min="4" max="4" width="6.109375" style="9" customWidth="1"/>
    <col min="5" max="5" width="11.5546875" style="9"/>
    <col min="6" max="6" width="11.44140625" style="9" customWidth="1"/>
    <col min="7" max="16384" width="11.5546875" style="9"/>
  </cols>
  <sheetData>
    <row r="1" spans="1:10" ht="15" thickBot="1">
      <c r="B1" s="1527" t="s">
        <v>57</v>
      </c>
      <c r="C1" s="1528"/>
      <c r="D1" s="1528"/>
      <c r="E1" s="1528"/>
      <c r="F1" s="1529"/>
    </row>
    <row r="2" spans="1:10" ht="15" thickBot="1"/>
    <row r="3" spans="1:10" ht="15" thickBot="1">
      <c r="A3" s="10"/>
      <c r="B3" s="1527" t="s">
        <v>87</v>
      </c>
      <c r="C3" s="1529"/>
      <c r="D3" s="10"/>
      <c r="E3" s="1527" t="s">
        <v>86</v>
      </c>
      <c r="F3" s="1529"/>
    </row>
    <row r="4" spans="1:10" ht="15" thickBot="1"/>
    <row r="5" spans="1:10">
      <c r="B5" s="1530" t="s">
        <v>58</v>
      </c>
      <c r="C5" s="1531"/>
      <c r="E5" s="1530" t="s">
        <v>58</v>
      </c>
      <c r="F5" s="1531"/>
    </row>
    <row r="6" spans="1:10" ht="15" thickBot="1">
      <c r="B6" s="1532">
        <f>B8*5*13/3</f>
        <v>3011.6666666666665</v>
      </c>
      <c r="C6" s="1533"/>
      <c r="E6" s="1532">
        <f>E8*5*13/3</f>
        <v>2816.6666666666665</v>
      </c>
      <c r="F6" s="1533"/>
    </row>
    <row r="7" spans="1:10" ht="15" thickBot="1"/>
    <row r="8" spans="1:10" ht="15" thickBot="1">
      <c r="A8" s="11" t="s">
        <v>59</v>
      </c>
      <c r="B8" s="1">
        <v>139</v>
      </c>
      <c r="C8" s="2">
        <f>B8*B11</f>
        <v>278</v>
      </c>
      <c r="E8" s="2">
        <f>E9/E11</f>
        <v>130</v>
      </c>
      <c r="F8" s="2">
        <f>E8*E11</f>
        <v>130</v>
      </c>
    </row>
    <row r="9" spans="1:10" ht="15" thickBot="1">
      <c r="A9" s="11" t="s">
        <v>60</v>
      </c>
      <c r="B9" s="2">
        <f>B11*B8</f>
        <v>278</v>
      </c>
      <c r="C9" s="3"/>
      <c r="E9" s="1">
        <v>130</v>
      </c>
      <c r="F9" s="3"/>
    </row>
    <row r="10" spans="1:10" ht="15" thickBot="1">
      <c r="C10" s="4">
        <f>(C8*1.08)*31/100</f>
        <v>93.074400000000011</v>
      </c>
      <c r="F10" s="4">
        <f>(F8*1.08)*31/100</f>
        <v>43.524000000000008</v>
      </c>
      <c r="J10" s="1059"/>
    </row>
    <row r="11" spans="1:10" ht="15" thickBot="1">
      <c r="A11" s="11" t="s">
        <v>61</v>
      </c>
      <c r="B11" s="5">
        <v>2</v>
      </c>
      <c r="C11" s="4">
        <f>-(B11*19.4)</f>
        <v>-38.799999999999997</v>
      </c>
      <c r="E11" s="5">
        <v>1</v>
      </c>
      <c r="F11" s="4">
        <f>-(E11*19.4)</f>
        <v>-19.399999999999999</v>
      </c>
    </row>
    <row r="12" spans="1:10" ht="15" thickBot="1">
      <c r="C12" s="4">
        <f>(C8*1.08)*10.27%</f>
        <v>30.834648000000001</v>
      </c>
      <c r="F12" s="4">
        <f>(F8*1.08)*10.27%</f>
        <v>14.419080000000001</v>
      </c>
    </row>
    <row r="13" spans="1:10" ht="15" thickBot="1">
      <c r="A13" s="11" t="s">
        <v>62</v>
      </c>
      <c r="B13" s="1">
        <v>42.4</v>
      </c>
      <c r="C13" s="6">
        <f>B13*B11</f>
        <v>84.8</v>
      </c>
      <c r="E13" s="2">
        <f>E14/E11</f>
        <v>0</v>
      </c>
      <c r="F13" s="6">
        <f>E13*E11</f>
        <v>0</v>
      </c>
    </row>
    <row r="14" spans="1:10" ht="15" thickBot="1">
      <c r="A14" s="11" t="s">
        <v>63</v>
      </c>
      <c r="B14" s="2">
        <f>B11*B13</f>
        <v>84.8</v>
      </c>
      <c r="C14" s="7"/>
      <c r="E14" s="1">
        <v>0</v>
      </c>
      <c r="F14" s="7"/>
    </row>
    <row r="15" spans="1:10">
      <c r="B15" s="12">
        <v>0.02</v>
      </c>
      <c r="C15" s="4">
        <f>C8*B15</f>
        <v>5.5600000000000005</v>
      </c>
      <c r="D15" s="13"/>
      <c r="E15" s="12">
        <v>0.02</v>
      </c>
      <c r="F15" s="4">
        <f>F8*E15</f>
        <v>2.6</v>
      </c>
    </row>
    <row r="16" spans="1:10" ht="15" thickBot="1">
      <c r="C16" s="4">
        <v>23</v>
      </c>
      <c r="F16" s="4">
        <v>23</v>
      </c>
    </row>
    <row r="17" spans="1:6" ht="15" thickBot="1">
      <c r="A17" s="13"/>
      <c r="B17" s="14" t="s">
        <v>64</v>
      </c>
      <c r="C17" s="8">
        <f>SUM(C8:C16)</f>
        <v>476.46904800000004</v>
      </c>
      <c r="E17" s="14" t="s">
        <v>64</v>
      </c>
      <c r="F17" s="8">
        <f>SUM(F8:F16)</f>
        <v>194.14308</v>
      </c>
    </row>
    <row r="19" spans="1:6" ht="15" thickBot="1"/>
    <row r="20" spans="1:6" ht="15" thickBot="1">
      <c r="B20" s="1525" t="s">
        <v>65</v>
      </c>
      <c r="C20" s="1526"/>
      <c r="E20" s="1525" t="s">
        <v>65</v>
      </c>
      <c r="F20" s="1526"/>
    </row>
    <row r="21" spans="1:6" ht="15" thickBot="1">
      <c r="B21" s="15"/>
      <c r="C21" s="16"/>
      <c r="E21" s="15"/>
      <c r="F21" s="16"/>
    </row>
    <row r="22" spans="1:6">
      <c r="B22" s="17" t="s">
        <v>66</v>
      </c>
      <c r="C22" s="18">
        <f>C32</f>
        <v>95.503452800000005</v>
      </c>
      <c r="E22" s="17" t="s">
        <v>66</v>
      </c>
      <c r="F22" s="18">
        <f>F32</f>
        <v>89.319776000000005</v>
      </c>
    </row>
    <row r="23" spans="1:6">
      <c r="B23" s="19" t="s">
        <v>67</v>
      </c>
      <c r="C23" s="20">
        <f>B13</f>
        <v>42.4</v>
      </c>
      <c r="E23" s="19" t="s">
        <v>67</v>
      </c>
      <c r="F23" s="20">
        <f>E13</f>
        <v>0</v>
      </c>
    </row>
    <row r="24" spans="1:6">
      <c r="B24" s="19" t="s">
        <v>68</v>
      </c>
      <c r="C24" s="20">
        <f>C38</f>
        <v>15.226374211168002</v>
      </c>
      <c r="E24" s="19" t="s">
        <v>68</v>
      </c>
      <c r="F24" s="20">
        <f>F38</f>
        <v>14.240493866560003</v>
      </c>
    </row>
    <row r="25" spans="1:6" ht="15" thickBot="1">
      <c r="B25" s="19"/>
      <c r="C25" s="20"/>
      <c r="E25" s="19"/>
      <c r="F25" s="20"/>
    </row>
    <row r="26" spans="1:6" ht="15" thickBot="1">
      <c r="B26" s="21" t="s">
        <v>69</v>
      </c>
      <c r="C26" s="22">
        <f>SUM(C22:C25)</f>
        <v>153.129827011168</v>
      </c>
      <c r="E26" s="21" t="s">
        <v>69</v>
      </c>
      <c r="F26" s="22">
        <f>SUM(F22:F25)</f>
        <v>103.56026986656001</v>
      </c>
    </row>
    <row r="27" spans="1:6" ht="15" thickBot="1">
      <c r="B27" s="21" t="s">
        <v>70</v>
      </c>
      <c r="C27" s="22">
        <f>C26*B11</f>
        <v>306.25965402233601</v>
      </c>
      <c r="E27" s="21" t="s">
        <v>70</v>
      </c>
      <c r="F27" s="22">
        <f>F26*E11</f>
        <v>103.56026986656001</v>
      </c>
    </row>
    <row r="29" spans="1:6">
      <c r="A29" s="9" t="s">
        <v>71</v>
      </c>
      <c r="C29" s="23">
        <f>B8</f>
        <v>139</v>
      </c>
      <c r="F29" s="23">
        <f>E8</f>
        <v>130</v>
      </c>
    </row>
    <row r="30" spans="1:6">
      <c r="A30" s="9" t="s">
        <v>72</v>
      </c>
      <c r="B30" s="9" t="s">
        <v>73</v>
      </c>
      <c r="C30" s="23">
        <f>(C29*1.08)*13.07%</f>
        <v>19.620684000000001</v>
      </c>
      <c r="E30" s="9" t="s">
        <v>73</v>
      </c>
      <c r="F30" s="23">
        <f>(F29*1.08)*13.07%</f>
        <v>18.350280000000001</v>
      </c>
    </row>
    <row r="31" spans="1:6" ht="15" thickBot="1">
      <c r="A31" s="9" t="s">
        <v>74</v>
      </c>
      <c r="B31" s="24">
        <v>0.2</v>
      </c>
      <c r="C31" s="25">
        <f>(C29-C30)*B31</f>
        <v>23.875863200000001</v>
      </c>
      <c r="E31" s="24">
        <v>0.2</v>
      </c>
      <c r="F31" s="25">
        <f>(F29-F30)*E31</f>
        <v>22.329944000000001</v>
      </c>
    </row>
    <row r="32" spans="1:6">
      <c r="B32" s="26" t="s">
        <v>75</v>
      </c>
      <c r="C32" s="27">
        <f>+C29-C30-C31</f>
        <v>95.503452800000005</v>
      </c>
      <c r="E32" s="26" t="s">
        <v>75</v>
      </c>
      <c r="F32" s="27">
        <f>+F29-F30-F31</f>
        <v>89.319776000000005</v>
      </c>
    </row>
    <row r="34" spans="1:6">
      <c r="A34" s="9" t="s">
        <v>71</v>
      </c>
      <c r="C34" s="23">
        <f>(+C29)*15.38%</f>
        <v>21.378200000000003</v>
      </c>
      <c r="F34" s="23">
        <f>(+F29)*15.38%</f>
        <v>19.994000000000003</v>
      </c>
    </row>
    <row r="35" spans="1:6">
      <c r="A35" s="9" t="s">
        <v>76</v>
      </c>
      <c r="B35" s="9" t="s">
        <v>73</v>
      </c>
      <c r="C35" s="23">
        <f>((C34*1.08)*1/100)</f>
        <v>0.23088456000000004</v>
      </c>
      <c r="E35" s="9" t="s">
        <v>73</v>
      </c>
      <c r="F35" s="23">
        <f>((F34*1.08)*1/100)</f>
        <v>0.21593520000000005</v>
      </c>
    </row>
    <row r="36" spans="1:6">
      <c r="A36" s="9" t="s">
        <v>77</v>
      </c>
      <c r="B36" s="9" t="s">
        <v>73</v>
      </c>
      <c r="C36" s="23">
        <f>((C29*108%)*6.8%)*13.07%</f>
        <v>1.3342065120000002</v>
      </c>
      <c r="E36" s="9" t="s">
        <v>73</v>
      </c>
      <c r="F36" s="23">
        <f>((F29*108%)*6.8%)*13.07%</f>
        <v>1.2478190400000004</v>
      </c>
    </row>
    <row r="37" spans="1:6" ht="15" thickBot="1">
      <c r="A37" s="9" t="s">
        <v>78</v>
      </c>
      <c r="B37" s="9" t="s">
        <v>73</v>
      </c>
      <c r="C37" s="28">
        <f>(C34-C35-C36)*23.15%</f>
        <v>4.5867347168319998</v>
      </c>
      <c r="E37" s="9" t="s">
        <v>73</v>
      </c>
      <c r="F37" s="28">
        <f>(F34-F35-F36)*23.15%</f>
        <v>4.2897518934400001</v>
      </c>
    </row>
    <row r="38" spans="1:6">
      <c r="A38" s="9" t="s">
        <v>79</v>
      </c>
      <c r="B38" s="9" t="s">
        <v>73</v>
      </c>
      <c r="C38" s="27">
        <f>+C34-C35-C36-C37</f>
        <v>15.226374211168002</v>
      </c>
      <c r="E38" s="9" t="s">
        <v>73</v>
      </c>
      <c r="F38" s="27">
        <f>+F34-F35-F36-F37</f>
        <v>14.240493866560003</v>
      </c>
    </row>
  </sheetData>
  <mergeCells count="9">
    <mergeCell ref="B20:C20"/>
    <mergeCell ref="E20:F20"/>
    <mergeCell ref="B1:F1"/>
    <mergeCell ref="B3:C3"/>
    <mergeCell ref="E3:F3"/>
    <mergeCell ref="B5:C5"/>
    <mergeCell ref="E5:F5"/>
    <mergeCell ref="B6:C6"/>
    <mergeCell ref="E6:F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458ED-460D-4D49-8DEB-1F4AB3F50C9E}">
  <sheetPr>
    <pageSetUpPr fitToPage="1"/>
  </sheetPr>
  <dimension ref="A1:M254"/>
  <sheetViews>
    <sheetView tabSelected="1" topLeftCell="B230" zoomScale="90" zoomScaleNormal="90" workbookViewId="0">
      <selection activeCell="J125" sqref="J125"/>
    </sheetView>
    <sheetView topLeftCell="A59" workbookViewId="1">
      <selection activeCell="D3" sqref="D3"/>
    </sheetView>
  </sheetViews>
  <sheetFormatPr baseColWidth="10" defaultRowHeight="17.399999999999999"/>
  <cols>
    <col min="1" max="1" width="3.6640625" style="623" customWidth="1"/>
    <col min="2" max="3" width="3.6640625" style="622" customWidth="1"/>
    <col min="4" max="4" width="97.21875" style="621" bestFit="1" customWidth="1"/>
    <col min="5" max="5" width="15.6640625" style="620" customWidth="1"/>
    <col min="6" max="7" width="18.77734375" style="920" bestFit="1" customWidth="1"/>
    <col min="8" max="8" width="15.6640625" style="619" customWidth="1"/>
    <col min="9" max="9" width="11.88671875" style="618" bestFit="1" customWidth="1"/>
    <col min="10" max="10" width="13" style="618" bestFit="1" customWidth="1"/>
    <col min="11" max="11" width="5.5546875" style="618" customWidth="1"/>
    <col min="12" max="12" width="13.33203125" style="618" bestFit="1" customWidth="1"/>
    <col min="13" max="13" width="13" style="618" bestFit="1" customWidth="1"/>
    <col min="14" max="16384" width="11.5546875" style="618"/>
  </cols>
  <sheetData>
    <row r="1" spans="1:8" s="788" customFormat="1" ht="36" customHeight="1">
      <c r="A1" s="1182" t="s">
        <v>476</v>
      </c>
      <c r="B1" s="1183"/>
      <c r="C1" s="1183"/>
      <c r="D1" s="1183"/>
      <c r="E1" s="1183"/>
      <c r="F1" s="1183"/>
      <c r="G1" s="1183"/>
      <c r="H1" s="619"/>
    </row>
    <row r="2" spans="1:8" s="788" customFormat="1" ht="6.75" customHeight="1">
      <c r="A2" s="797"/>
      <c r="B2" s="622"/>
      <c r="C2" s="622"/>
      <c r="D2" s="800"/>
      <c r="E2" s="796"/>
      <c r="F2" s="879"/>
      <c r="G2" s="879"/>
      <c r="H2" s="619"/>
    </row>
    <row r="3" spans="1:8" s="788" customFormat="1" ht="18.75" customHeight="1">
      <c r="A3" s="797"/>
      <c r="B3" s="622"/>
      <c r="C3" s="622"/>
      <c r="D3" s="799" t="s">
        <v>838</v>
      </c>
      <c r="E3" s="798"/>
      <c r="F3" s="880"/>
      <c r="G3" s="880"/>
      <c r="H3" s="619"/>
    </row>
    <row r="4" spans="1:8" s="788" customFormat="1" ht="12.75" customHeight="1" thickBot="1">
      <c r="A4" s="797"/>
      <c r="B4" s="622"/>
      <c r="C4" s="622"/>
      <c r="D4" s="656"/>
      <c r="E4" s="796"/>
      <c r="F4" s="879"/>
      <c r="G4" s="879"/>
      <c r="H4" s="619"/>
    </row>
    <row r="5" spans="1:8" s="788" customFormat="1" ht="19.95" customHeight="1" thickTop="1">
      <c r="A5" s="794"/>
      <c r="B5" s="793"/>
      <c r="C5" s="793"/>
      <c r="D5" s="792"/>
      <c r="E5" s="791"/>
      <c r="F5" s="921">
        <v>2024</v>
      </c>
      <c r="G5" s="921">
        <v>2025</v>
      </c>
      <c r="H5" s="789"/>
    </row>
    <row r="6" spans="1:8" ht="40.5" customHeight="1" thickBot="1">
      <c r="A6" s="636"/>
      <c r="E6" s="787" t="s">
        <v>475</v>
      </c>
      <c r="F6" s="881" t="s">
        <v>474</v>
      </c>
      <c r="G6" s="882" t="s">
        <v>474</v>
      </c>
      <c r="H6" s="786" t="s">
        <v>473</v>
      </c>
    </row>
    <row r="7" spans="1:8" s="642" customFormat="1" ht="43.5" customHeight="1" thickTop="1" thickBot="1">
      <c r="A7" s="785" t="s">
        <v>472</v>
      </c>
      <c r="B7" s="784"/>
      <c r="C7" s="784"/>
      <c r="D7" s="783"/>
      <c r="E7" s="782" t="s">
        <v>471</v>
      </c>
      <c r="F7" s="883">
        <f>SUM(F8+F14)</f>
        <v>57050</v>
      </c>
      <c r="G7" s="883">
        <f>SUM(G8+G14)</f>
        <v>77550</v>
      </c>
      <c r="H7" s="781"/>
    </row>
    <row r="8" spans="1:8" s="642" customFormat="1" ht="27" hidden="1" customHeight="1" thickTop="1">
      <c r="A8" s="724" t="s">
        <v>470</v>
      </c>
      <c r="B8" s="666"/>
      <c r="C8" s="666"/>
      <c r="D8" s="665"/>
      <c r="E8" s="723">
        <v>60</v>
      </c>
      <c r="F8" s="884">
        <f>SUM(F9:F13)</f>
        <v>0</v>
      </c>
      <c r="G8" s="884">
        <f>SUM(G9:G13)</f>
        <v>0</v>
      </c>
      <c r="H8" s="780" t="s">
        <v>183</v>
      </c>
    </row>
    <row r="9" spans="1:8" s="642" customFormat="1" ht="27" hidden="1" customHeight="1">
      <c r="A9" s="687"/>
      <c r="B9" s="643" t="s">
        <v>469</v>
      </c>
      <c r="C9" s="643"/>
      <c r="D9" s="749"/>
      <c r="E9" s="779">
        <v>601</v>
      </c>
      <c r="F9" s="885"/>
      <c r="G9" s="885"/>
      <c r="H9" s="677"/>
    </row>
    <row r="10" spans="1:8" s="642" customFormat="1" ht="27" hidden="1" customHeight="1">
      <c r="A10" s="687"/>
      <c r="B10" s="643" t="s">
        <v>468</v>
      </c>
      <c r="C10" s="643"/>
      <c r="D10" s="749"/>
      <c r="E10" s="779">
        <v>602</v>
      </c>
      <c r="F10" s="885"/>
      <c r="G10" s="885"/>
      <c r="H10" s="677"/>
    </row>
    <row r="11" spans="1:8" s="642" customFormat="1" ht="27" hidden="1" customHeight="1">
      <c r="A11" s="687"/>
      <c r="B11" s="643" t="s">
        <v>467</v>
      </c>
      <c r="C11" s="643"/>
      <c r="D11" s="749"/>
      <c r="E11" s="779">
        <v>603</v>
      </c>
      <c r="F11" s="885"/>
      <c r="G11" s="885"/>
      <c r="H11" s="677"/>
    </row>
    <row r="12" spans="1:8" s="775" customFormat="1" ht="27" hidden="1" customHeight="1">
      <c r="A12" s="778"/>
      <c r="B12" s="643" t="s">
        <v>466</v>
      </c>
      <c r="C12" s="643"/>
      <c r="D12" s="749"/>
      <c r="E12" s="777">
        <v>604</v>
      </c>
      <c r="F12" s="886"/>
      <c r="G12" s="886"/>
      <c r="H12" s="776"/>
    </row>
    <row r="13" spans="1:8" s="642" customFormat="1" ht="27" hidden="1" customHeight="1" thickBot="1">
      <c r="A13" s="681"/>
      <c r="B13" s="658" t="s">
        <v>465</v>
      </c>
      <c r="C13" s="658"/>
      <c r="D13" s="679"/>
      <c r="E13" s="774">
        <v>609</v>
      </c>
      <c r="F13" s="887"/>
      <c r="G13" s="887"/>
      <c r="H13" s="725"/>
    </row>
    <row r="14" spans="1:8" s="642" customFormat="1" ht="27" customHeight="1" thickTop="1" thickBot="1">
      <c r="A14" s="724" t="s">
        <v>464</v>
      </c>
      <c r="B14" s="666"/>
      <c r="C14" s="666"/>
      <c r="D14" s="665"/>
      <c r="E14" s="723">
        <v>61</v>
      </c>
      <c r="F14" s="888">
        <f>SUM(F15+F25+F35+F36+F37+F38+F39+F40+F41+F42+F43+F49+F55+F56+F57+F58+F59+F62+F63+F64+F65+F66+F67+F68+F69+F70+F71+F72+F73+F74+F75+F76+F79+F80+F83+F84+F85+F86+F87+F88+F89+F90+F91+F92+F99+F105+F106+F107+F108+F109+F122+F123+F124+F133+F134+F135+F136+F137)</f>
        <v>57050</v>
      </c>
      <c r="G14" s="888">
        <f>SUM(G15+G25+G35+G36+G37+G38+G39+G40+G41+G42+G43+G49+G55+G56+G57+G58+G59+G62+G63+G64+G65+G66+G67+G68+G69+G70+G71+G72+G73+G74+G75+G76+G79+G80+G83+G84+G85+G86+G87+G88+G89+G90+G91+G92+G99+G105+G106+G107+G108+G109+G122+G123+G124+G133+G134+G135+G136+G137)</f>
        <v>77550</v>
      </c>
      <c r="H14" s="773"/>
    </row>
    <row r="15" spans="1:8" s="642" customFormat="1" ht="27" customHeight="1" thickBot="1">
      <c r="A15" s="687"/>
      <c r="B15" s="772"/>
      <c r="C15" s="695" t="s">
        <v>463</v>
      </c>
      <c r="D15" s="694"/>
      <c r="E15" s="1124">
        <v>6100</v>
      </c>
      <c r="F15" s="889">
        <f>SUM(F16+F17+F22+F23+F24)</f>
        <v>2760</v>
      </c>
      <c r="G15" s="889">
        <f>SUM(G16+G17+G22+G23+G24)</f>
        <v>2760</v>
      </c>
      <c r="H15" s="677" t="s">
        <v>437</v>
      </c>
    </row>
    <row r="16" spans="1:8" s="642" customFormat="1" ht="27" hidden="1" customHeight="1" thickBot="1">
      <c r="A16" s="687"/>
      <c r="B16" s="643"/>
      <c r="C16" s="770"/>
      <c r="D16" s="643" t="s">
        <v>456</v>
      </c>
      <c r="E16" s="1125">
        <v>61000</v>
      </c>
      <c r="F16" s="885"/>
      <c r="G16" s="885"/>
      <c r="H16" s="677"/>
    </row>
    <row r="17" spans="1:9" s="642" customFormat="1" ht="27" customHeight="1">
      <c r="A17" s="687"/>
      <c r="B17" s="643"/>
      <c r="C17" s="770"/>
      <c r="D17" s="769" t="s">
        <v>455</v>
      </c>
      <c r="E17" s="1139">
        <v>61001</v>
      </c>
      <c r="F17" s="890">
        <f>SUM(F18:F21)</f>
        <v>2760</v>
      </c>
      <c r="G17" s="890">
        <f>SUM(G18:G21)</f>
        <v>2760</v>
      </c>
      <c r="H17" s="768"/>
    </row>
    <row r="18" spans="1:9" s="642" customFormat="1" ht="27" customHeight="1">
      <c r="A18" s="687"/>
      <c r="B18" s="643"/>
      <c r="C18" s="770"/>
      <c r="D18" s="767" t="s">
        <v>454</v>
      </c>
      <c r="E18" s="818" t="s">
        <v>462</v>
      </c>
      <c r="F18" s="885">
        <v>2400</v>
      </c>
      <c r="G18" s="885">
        <v>2400</v>
      </c>
      <c r="H18" s="677"/>
    </row>
    <row r="19" spans="1:9" s="642" customFormat="1" ht="27" hidden="1" customHeight="1">
      <c r="A19" s="687"/>
      <c r="B19" s="643"/>
      <c r="C19" s="770"/>
      <c r="D19" s="767" t="s">
        <v>452</v>
      </c>
      <c r="E19" s="818" t="s">
        <v>461</v>
      </c>
      <c r="F19" s="885"/>
      <c r="G19" s="885"/>
      <c r="H19" s="677"/>
    </row>
    <row r="20" spans="1:9" s="642" customFormat="1" ht="27" hidden="1" customHeight="1">
      <c r="A20" s="687"/>
      <c r="B20" s="643"/>
      <c r="C20" s="770"/>
      <c r="D20" s="767" t="s">
        <v>450</v>
      </c>
      <c r="E20" s="818" t="s">
        <v>460</v>
      </c>
      <c r="F20" s="885"/>
      <c r="G20" s="885"/>
      <c r="H20" s="677"/>
      <c r="I20" s="771"/>
    </row>
    <row r="21" spans="1:9" s="642" customFormat="1" ht="27" customHeight="1" thickBot="1">
      <c r="A21" s="687"/>
      <c r="B21" s="643"/>
      <c r="C21" s="770"/>
      <c r="D21" s="766" t="s">
        <v>448</v>
      </c>
      <c r="E21" s="1127" t="s">
        <v>459</v>
      </c>
      <c r="F21" s="891">
        <v>360</v>
      </c>
      <c r="G21" s="891">
        <v>360</v>
      </c>
      <c r="H21" s="764"/>
    </row>
    <row r="22" spans="1:9" s="642" customFormat="1" ht="27" hidden="1" customHeight="1">
      <c r="A22" s="687"/>
      <c r="B22" s="643"/>
      <c r="C22" s="690"/>
      <c r="D22" s="749" t="s">
        <v>446</v>
      </c>
      <c r="E22" s="1125">
        <v>61003</v>
      </c>
      <c r="F22" s="885"/>
      <c r="G22" s="885"/>
      <c r="H22" s="677"/>
    </row>
    <row r="23" spans="1:9" s="642" customFormat="1" ht="27" hidden="1" customHeight="1">
      <c r="A23" s="687"/>
      <c r="B23" s="643"/>
      <c r="C23" s="690"/>
      <c r="D23" s="749" t="s">
        <v>445</v>
      </c>
      <c r="E23" s="1125">
        <v>61004</v>
      </c>
      <c r="F23" s="885"/>
      <c r="G23" s="885"/>
      <c r="H23" s="677"/>
    </row>
    <row r="24" spans="1:9" s="642" customFormat="1" ht="27" hidden="1" customHeight="1" thickBot="1">
      <c r="A24" s="687"/>
      <c r="B24" s="643"/>
      <c r="C24" s="690"/>
      <c r="D24" s="749" t="s">
        <v>458</v>
      </c>
      <c r="E24" s="1125">
        <v>61008</v>
      </c>
      <c r="F24" s="885"/>
      <c r="G24" s="885"/>
      <c r="H24" s="677"/>
    </row>
    <row r="25" spans="1:9" s="642" customFormat="1" ht="27" customHeight="1">
      <c r="A25" s="687"/>
      <c r="B25" s="643"/>
      <c r="C25" s="695" t="s">
        <v>457</v>
      </c>
      <c r="D25" s="694"/>
      <c r="E25" s="1124">
        <v>6101</v>
      </c>
      <c r="F25" s="889">
        <f>SUM(F26+F27+F32+F33+F34)</f>
        <v>180</v>
      </c>
      <c r="G25" s="889">
        <v>180</v>
      </c>
      <c r="H25" s="692" t="s">
        <v>306</v>
      </c>
    </row>
    <row r="26" spans="1:9" s="642" customFormat="1" ht="27" hidden="1" customHeight="1" thickBot="1">
      <c r="A26" s="687"/>
      <c r="B26" s="643"/>
      <c r="C26" s="690"/>
      <c r="D26" s="643" t="s">
        <v>456</v>
      </c>
      <c r="E26" s="1125">
        <v>61010</v>
      </c>
      <c r="F26" s="885"/>
      <c r="G26" s="885"/>
      <c r="H26" s="677"/>
    </row>
    <row r="27" spans="1:9" s="642" customFormat="1" ht="27" hidden="1" customHeight="1">
      <c r="A27" s="687"/>
      <c r="B27" s="643"/>
      <c r="C27" s="690"/>
      <c r="D27" s="769" t="s">
        <v>455</v>
      </c>
      <c r="E27" s="1126">
        <v>61011</v>
      </c>
      <c r="F27" s="890">
        <f>SUM(F28:F31)</f>
        <v>180</v>
      </c>
      <c r="G27" s="890">
        <f>SUM(G28:G31)</f>
        <v>180</v>
      </c>
      <c r="H27" s="768"/>
    </row>
    <row r="28" spans="1:9" s="642" customFormat="1" ht="27" hidden="1" customHeight="1">
      <c r="A28" s="687"/>
      <c r="B28" s="643"/>
      <c r="C28" s="690"/>
      <c r="D28" s="767" t="s">
        <v>454</v>
      </c>
      <c r="E28" s="818" t="s">
        <v>453</v>
      </c>
      <c r="F28" s="885"/>
      <c r="G28" s="885"/>
      <c r="H28" s="677"/>
    </row>
    <row r="29" spans="1:9" s="642" customFormat="1" ht="27" customHeight="1" thickBot="1">
      <c r="A29" s="687"/>
      <c r="B29" s="643"/>
      <c r="C29" s="690"/>
      <c r="D29" s="767" t="s">
        <v>452</v>
      </c>
      <c r="E29" s="818" t="s">
        <v>451</v>
      </c>
      <c r="F29" s="885">
        <v>180</v>
      </c>
      <c r="G29" s="885">
        <v>180</v>
      </c>
      <c r="H29" s="677"/>
    </row>
    <row r="30" spans="1:9" s="642" customFormat="1" ht="27" hidden="1" customHeight="1">
      <c r="A30" s="687"/>
      <c r="B30" s="643"/>
      <c r="C30" s="690"/>
      <c r="D30" s="767" t="s">
        <v>450</v>
      </c>
      <c r="E30" s="818" t="s">
        <v>449</v>
      </c>
      <c r="F30" s="885"/>
      <c r="G30" s="885"/>
      <c r="H30" s="677"/>
    </row>
    <row r="31" spans="1:9" s="642" customFormat="1" ht="27" hidden="1" customHeight="1" thickBot="1">
      <c r="A31" s="687"/>
      <c r="B31" s="643"/>
      <c r="C31" s="690"/>
      <c r="D31" s="766" t="s">
        <v>448</v>
      </c>
      <c r="E31" s="1127" t="s">
        <v>447</v>
      </c>
      <c r="F31" s="891"/>
      <c r="G31" s="891"/>
      <c r="H31" s="764"/>
    </row>
    <row r="32" spans="1:9" s="642" customFormat="1" ht="27" hidden="1" customHeight="1">
      <c r="A32" s="687"/>
      <c r="B32" s="643"/>
      <c r="C32" s="690"/>
      <c r="D32" s="749" t="s">
        <v>446</v>
      </c>
      <c r="E32" s="1125">
        <v>61013</v>
      </c>
      <c r="F32" s="885"/>
      <c r="G32" s="885"/>
      <c r="H32" s="677"/>
    </row>
    <row r="33" spans="1:9" s="642" customFormat="1" ht="27" hidden="1" customHeight="1">
      <c r="A33" s="687"/>
      <c r="B33" s="643"/>
      <c r="C33" s="690"/>
      <c r="D33" s="749" t="s">
        <v>445</v>
      </c>
      <c r="E33" s="1125">
        <v>61014</v>
      </c>
      <c r="F33" s="885"/>
      <c r="G33" s="885"/>
      <c r="H33" s="677"/>
    </row>
    <row r="34" spans="1:9" s="642" customFormat="1" ht="27" hidden="1" customHeight="1" thickBot="1">
      <c r="A34" s="687"/>
      <c r="B34" s="643"/>
      <c r="C34" s="690"/>
      <c r="D34" s="749" t="s">
        <v>444</v>
      </c>
      <c r="E34" s="1125">
        <v>61018</v>
      </c>
      <c r="F34" s="885"/>
      <c r="G34" s="885"/>
      <c r="H34" s="677"/>
    </row>
    <row r="35" spans="1:9" s="642" customFormat="1" ht="27" hidden="1" customHeight="1" thickBot="1">
      <c r="A35" s="687"/>
      <c r="B35" s="643"/>
      <c r="C35" s="736" t="s">
        <v>443</v>
      </c>
      <c r="D35" s="635"/>
      <c r="E35" s="1128">
        <v>6102</v>
      </c>
      <c r="F35" s="892"/>
      <c r="G35" s="892"/>
      <c r="H35" s="735" t="s">
        <v>183</v>
      </c>
    </row>
    <row r="36" spans="1:9" s="642" customFormat="1" ht="27" hidden="1" customHeight="1" thickBot="1">
      <c r="A36" s="687"/>
      <c r="B36" s="643"/>
      <c r="C36" s="695" t="s">
        <v>442</v>
      </c>
      <c r="D36" s="694"/>
      <c r="E36" s="1124">
        <v>6103</v>
      </c>
      <c r="F36" s="889"/>
      <c r="G36" s="889"/>
      <c r="H36" s="677" t="s">
        <v>183</v>
      </c>
    </row>
    <row r="37" spans="1:9" s="642" customFormat="1" ht="27" hidden="1" customHeight="1" thickBot="1">
      <c r="A37" s="687"/>
      <c r="B37" s="643"/>
      <c r="C37" s="736" t="s">
        <v>441</v>
      </c>
      <c r="D37" s="635"/>
      <c r="E37" s="1128">
        <v>6104</v>
      </c>
      <c r="F37" s="892"/>
      <c r="G37" s="892"/>
      <c r="H37" s="735" t="s">
        <v>183</v>
      </c>
    </row>
    <row r="38" spans="1:9" s="642" customFormat="1" ht="27" customHeight="1" thickBot="1">
      <c r="A38" s="687"/>
      <c r="B38" s="643"/>
      <c r="C38" s="695" t="s">
        <v>440</v>
      </c>
      <c r="D38" s="694"/>
      <c r="E38" s="1124">
        <v>6105</v>
      </c>
      <c r="F38" s="889">
        <v>60</v>
      </c>
      <c r="G38" s="889">
        <v>60</v>
      </c>
      <c r="H38" s="677" t="s">
        <v>437</v>
      </c>
    </row>
    <row r="39" spans="1:9" s="642" customFormat="1" ht="27" hidden="1" customHeight="1" thickBot="1">
      <c r="A39" s="687"/>
      <c r="B39" s="643"/>
      <c r="C39" s="763" t="s">
        <v>439</v>
      </c>
      <c r="D39" s="755"/>
      <c r="E39" s="1124">
        <v>6106</v>
      </c>
      <c r="F39" s="893"/>
      <c r="G39" s="893"/>
      <c r="H39" s="692" t="s">
        <v>183</v>
      </c>
      <c r="I39" s="758"/>
    </row>
    <row r="40" spans="1:9" s="642" customFormat="1" ht="27" hidden="1" customHeight="1" thickBot="1">
      <c r="A40" s="687"/>
      <c r="B40" s="643"/>
      <c r="C40" s="762" t="s">
        <v>438</v>
      </c>
      <c r="D40" s="751"/>
      <c r="E40" s="1128">
        <v>6107</v>
      </c>
      <c r="F40" s="892"/>
      <c r="G40" s="892"/>
      <c r="H40" s="735" t="s">
        <v>437</v>
      </c>
      <c r="I40" s="758"/>
    </row>
    <row r="41" spans="1:9" s="642" customFormat="1" ht="27" hidden="1" customHeight="1" thickBot="1">
      <c r="A41" s="687"/>
      <c r="B41" s="643"/>
      <c r="C41" s="762" t="s">
        <v>436</v>
      </c>
      <c r="D41" s="751"/>
      <c r="E41" s="1128">
        <v>6108</v>
      </c>
      <c r="F41" s="892"/>
      <c r="G41" s="892"/>
      <c r="H41" s="735" t="s">
        <v>183</v>
      </c>
      <c r="I41" s="758"/>
    </row>
    <row r="42" spans="1:9" s="642" customFormat="1" ht="27" hidden="1" customHeight="1" thickBot="1">
      <c r="A42" s="687"/>
      <c r="B42" s="643"/>
      <c r="C42" s="761" t="s">
        <v>435</v>
      </c>
      <c r="D42" s="760"/>
      <c r="E42" s="818">
        <v>6109</v>
      </c>
      <c r="F42" s="885"/>
      <c r="G42" s="885"/>
      <c r="H42" s="677" t="s">
        <v>183</v>
      </c>
      <c r="I42" s="758"/>
    </row>
    <row r="43" spans="1:9" s="642" customFormat="1" ht="27" hidden="1" customHeight="1">
      <c r="A43" s="687"/>
      <c r="B43" s="643"/>
      <c r="C43" s="695" t="s">
        <v>434</v>
      </c>
      <c r="D43" s="694"/>
      <c r="E43" s="1124">
        <v>6110</v>
      </c>
      <c r="F43" s="889">
        <f>SUM(F44:F48)</f>
        <v>0</v>
      </c>
      <c r="G43" s="889">
        <f>SUM(G44:G48)</f>
        <v>0</v>
      </c>
      <c r="H43" s="692" t="s">
        <v>306</v>
      </c>
      <c r="I43" s="758"/>
    </row>
    <row r="44" spans="1:9" s="642" customFormat="1" ht="27" hidden="1" customHeight="1">
      <c r="A44" s="687"/>
      <c r="B44" s="643"/>
      <c r="C44" s="690"/>
      <c r="D44" s="749" t="s">
        <v>433</v>
      </c>
      <c r="E44" s="818" t="s">
        <v>432</v>
      </c>
      <c r="F44" s="885"/>
      <c r="G44" s="885"/>
      <c r="H44" s="677"/>
    </row>
    <row r="45" spans="1:9" s="642" customFormat="1" ht="27" hidden="1" customHeight="1">
      <c r="A45" s="687"/>
      <c r="B45" s="643"/>
      <c r="C45" s="690"/>
      <c r="D45" s="749" t="s">
        <v>421</v>
      </c>
      <c r="E45" s="818" t="s">
        <v>431</v>
      </c>
      <c r="F45" s="885"/>
      <c r="G45" s="885"/>
      <c r="H45" s="677"/>
    </row>
    <row r="46" spans="1:9" s="642" customFormat="1" ht="27" hidden="1" customHeight="1">
      <c r="A46" s="687"/>
      <c r="B46" s="643"/>
      <c r="C46" s="690"/>
      <c r="D46" s="749" t="s">
        <v>430</v>
      </c>
      <c r="E46" s="818" t="s">
        <v>429</v>
      </c>
      <c r="F46" s="885"/>
      <c r="G46" s="885"/>
      <c r="H46" s="677"/>
    </row>
    <row r="47" spans="1:9" s="642" customFormat="1" ht="27" hidden="1" customHeight="1">
      <c r="A47" s="687"/>
      <c r="B47" s="643"/>
      <c r="C47" s="690"/>
      <c r="D47" s="749" t="s">
        <v>428</v>
      </c>
      <c r="E47" s="818" t="s">
        <v>427</v>
      </c>
      <c r="F47" s="885"/>
      <c r="G47" s="885"/>
      <c r="H47" s="677"/>
    </row>
    <row r="48" spans="1:9" s="642" customFormat="1" ht="27" hidden="1" customHeight="1" thickBot="1">
      <c r="A48" s="687"/>
      <c r="B48" s="643"/>
      <c r="C48" s="690"/>
      <c r="D48" s="749" t="s">
        <v>426</v>
      </c>
      <c r="E48" s="818" t="s">
        <v>425</v>
      </c>
      <c r="F48" s="885"/>
      <c r="G48" s="885"/>
      <c r="H48" s="677"/>
    </row>
    <row r="49" spans="1:8" s="642" customFormat="1" ht="27" hidden="1" customHeight="1">
      <c r="A49" s="687"/>
      <c r="B49" s="643"/>
      <c r="C49" s="695" t="s">
        <v>424</v>
      </c>
      <c r="D49" s="694"/>
      <c r="E49" s="1124">
        <v>6111</v>
      </c>
      <c r="F49" s="889">
        <f>SUM(F50:F54)</f>
        <v>0</v>
      </c>
      <c r="G49" s="889">
        <f>SUM(G50:G54)</f>
        <v>0</v>
      </c>
      <c r="H49" s="692" t="s">
        <v>306</v>
      </c>
    </row>
    <row r="50" spans="1:8" s="642" customFormat="1" ht="27" hidden="1" customHeight="1">
      <c r="A50" s="687"/>
      <c r="B50" s="643"/>
      <c r="C50" s="690"/>
      <c r="D50" s="749" t="s">
        <v>423</v>
      </c>
      <c r="E50" s="818" t="s">
        <v>422</v>
      </c>
      <c r="F50" s="885"/>
      <c r="G50" s="885"/>
      <c r="H50" s="677"/>
    </row>
    <row r="51" spans="1:8" s="642" customFormat="1" ht="27" hidden="1" customHeight="1">
      <c r="A51" s="687"/>
      <c r="B51" s="643"/>
      <c r="C51" s="690"/>
      <c r="D51" s="749" t="s">
        <v>421</v>
      </c>
      <c r="E51" s="818" t="s">
        <v>420</v>
      </c>
      <c r="F51" s="885"/>
      <c r="G51" s="885"/>
      <c r="H51" s="677"/>
    </row>
    <row r="52" spans="1:8" s="642" customFormat="1" ht="27" hidden="1" customHeight="1">
      <c r="A52" s="687"/>
      <c r="B52" s="643"/>
      <c r="C52" s="690"/>
      <c r="D52" s="749" t="s">
        <v>419</v>
      </c>
      <c r="E52" s="818" t="s">
        <v>418</v>
      </c>
      <c r="F52" s="885"/>
      <c r="G52" s="885"/>
      <c r="H52" s="677"/>
    </row>
    <row r="53" spans="1:8" s="642" customFormat="1" ht="27" hidden="1" customHeight="1">
      <c r="A53" s="687"/>
      <c r="B53" s="643"/>
      <c r="C53" s="690"/>
      <c r="D53" s="749" t="s">
        <v>417</v>
      </c>
      <c r="E53" s="818" t="s">
        <v>416</v>
      </c>
      <c r="F53" s="885"/>
      <c r="G53" s="885"/>
      <c r="H53" s="677"/>
    </row>
    <row r="54" spans="1:8" s="642" customFormat="1" ht="27" hidden="1" customHeight="1" thickBot="1">
      <c r="A54" s="687"/>
      <c r="B54" s="643"/>
      <c r="C54" s="690"/>
      <c r="D54" s="749" t="s">
        <v>415</v>
      </c>
      <c r="E54" s="818" t="s">
        <v>414</v>
      </c>
      <c r="F54" s="885"/>
      <c r="G54" s="885"/>
      <c r="H54" s="677"/>
    </row>
    <row r="55" spans="1:8" s="642" customFormat="1" ht="27" customHeight="1" thickBot="1">
      <c r="A55" s="687"/>
      <c r="B55" s="643"/>
      <c r="C55" s="686" t="s">
        <v>413</v>
      </c>
      <c r="D55" s="751"/>
      <c r="E55" s="1128">
        <v>6112</v>
      </c>
      <c r="F55" s="892">
        <v>3500</v>
      </c>
      <c r="G55" s="892">
        <v>3770</v>
      </c>
      <c r="H55" s="735" t="s">
        <v>306</v>
      </c>
    </row>
    <row r="56" spans="1:8" s="642" customFormat="1" ht="27" customHeight="1" thickBot="1">
      <c r="A56" s="687"/>
      <c r="B56" s="643"/>
      <c r="C56" s="722" t="s">
        <v>412</v>
      </c>
      <c r="D56" s="751"/>
      <c r="E56" s="1128">
        <v>6113</v>
      </c>
      <c r="F56" s="892">
        <v>1000</v>
      </c>
      <c r="G56" s="892">
        <v>1000</v>
      </c>
      <c r="H56" s="735" t="s">
        <v>306</v>
      </c>
    </row>
    <row r="57" spans="1:8" s="642" customFormat="1" ht="27" customHeight="1" thickBot="1">
      <c r="A57" s="687"/>
      <c r="B57" s="643"/>
      <c r="C57" s="722" t="s">
        <v>411</v>
      </c>
      <c r="D57" s="751"/>
      <c r="E57" s="1128">
        <v>6114</v>
      </c>
      <c r="F57" s="892">
        <v>2400</v>
      </c>
      <c r="G57" s="892">
        <v>2400</v>
      </c>
      <c r="H57" s="735" t="s">
        <v>306</v>
      </c>
    </row>
    <row r="58" spans="1:8" s="642" customFormat="1" ht="27" hidden="1" customHeight="1" thickBot="1">
      <c r="A58" s="687"/>
      <c r="B58" s="643"/>
      <c r="C58" s="696" t="s">
        <v>410</v>
      </c>
      <c r="D58" s="755"/>
      <c r="E58" s="1124">
        <v>6115</v>
      </c>
      <c r="F58" s="893"/>
      <c r="G58" s="893"/>
      <c r="H58" s="692" t="s">
        <v>306</v>
      </c>
    </row>
    <row r="59" spans="1:8" s="642" customFormat="1" ht="27" customHeight="1">
      <c r="A59" s="687"/>
      <c r="B59" s="643"/>
      <c r="C59" s="757" t="s">
        <v>409</v>
      </c>
      <c r="D59" s="756"/>
      <c r="E59" s="1124">
        <v>6116</v>
      </c>
      <c r="F59" s="889">
        <f>SUM(F60:F61)</f>
        <v>500</v>
      </c>
      <c r="G59" s="889">
        <f>SUM(G60:G61)</f>
        <v>1000</v>
      </c>
      <c r="H59" s="692" t="s">
        <v>306</v>
      </c>
    </row>
    <row r="60" spans="1:8" s="642" customFormat="1" ht="27" hidden="1" customHeight="1">
      <c r="A60" s="687"/>
      <c r="B60" s="643"/>
      <c r="C60" s="690"/>
      <c r="D60" s="749" t="s">
        <v>408</v>
      </c>
      <c r="E60" s="818" t="s">
        <v>407</v>
      </c>
      <c r="F60" s="885"/>
      <c r="G60" s="885"/>
      <c r="H60" s="677"/>
    </row>
    <row r="61" spans="1:8" s="642" customFormat="1" ht="27" customHeight="1" thickBot="1">
      <c r="A61" s="687"/>
      <c r="B61" s="643"/>
      <c r="C61" s="685"/>
      <c r="D61" s="646" t="s">
        <v>406</v>
      </c>
      <c r="E61" s="1129" t="s">
        <v>405</v>
      </c>
      <c r="F61" s="894">
        <v>500</v>
      </c>
      <c r="G61" s="894">
        <v>1000</v>
      </c>
      <c r="H61" s="682"/>
    </row>
    <row r="62" spans="1:8" s="642" customFormat="1" ht="27" customHeight="1" thickBot="1">
      <c r="A62" s="687"/>
      <c r="B62" s="643"/>
      <c r="C62" s="753" t="s">
        <v>404</v>
      </c>
      <c r="D62" s="751"/>
      <c r="E62" s="1128">
        <v>6117</v>
      </c>
      <c r="F62" s="892">
        <v>1500</v>
      </c>
      <c r="G62" s="892">
        <v>1500</v>
      </c>
      <c r="H62" s="735" t="s">
        <v>306</v>
      </c>
    </row>
    <row r="63" spans="1:8" s="642" customFormat="1" ht="27" customHeight="1" thickBot="1">
      <c r="A63" s="687"/>
      <c r="B63" s="643"/>
      <c r="C63" s="752" t="s">
        <v>403</v>
      </c>
      <c r="D63" s="751"/>
      <c r="E63" s="1128">
        <v>6118</v>
      </c>
      <c r="F63" s="892">
        <v>100</v>
      </c>
      <c r="G63" s="892">
        <v>100</v>
      </c>
      <c r="H63" s="735" t="s">
        <v>306</v>
      </c>
    </row>
    <row r="64" spans="1:8" s="642" customFormat="1" ht="27" customHeight="1" thickBot="1">
      <c r="A64" s="687"/>
      <c r="B64" s="643"/>
      <c r="C64" s="752" t="s">
        <v>402</v>
      </c>
      <c r="D64" s="751"/>
      <c r="E64" s="1128">
        <v>6120</v>
      </c>
      <c r="F64" s="892">
        <v>50</v>
      </c>
      <c r="G64" s="892">
        <v>50</v>
      </c>
      <c r="H64" s="735" t="s">
        <v>183</v>
      </c>
    </row>
    <row r="65" spans="1:8" s="642" customFormat="1" ht="27" customHeight="1" thickBot="1">
      <c r="A65" s="687"/>
      <c r="B65" s="643"/>
      <c r="C65" s="752" t="s">
        <v>401</v>
      </c>
      <c r="D65" s="751"/>
      <c r="E65" s="1128">
        <v>6121</v>
      </c>
      <c r="F65" s="892">
        <v>3000</v>
      </c>
      <c r="G65" s="892">
        <v>3000</v>
      </c>
      <c r="H65" s="735" t="s">
        <v>183</v>
      </c>
    </row>
    <row r="66" spans="1:8" s="642" customFormat="1" ht="27" customHeight="1" thickBot="1">
      <c r="A66" s="687"/>
      <c r="B66" s="643"/>
      <c r="C66" s="752" t="s">
        <v>400</v>
      </c>
      <c r="D66" s="751"/>
      <c r="E66" s="1128">
        <v>6122</v>
      </c>
      <c r="F66" s="892">
        <v>400</v>
      </c>
      <c r="G66" s="892">
        <v>400</v>
      </c>
      <c r="H66" s="735" t="s">
        <v>183</v>
      </c>
    </row>
    <row r="67" spans="1:8" s="642" customFormat="1" ht="27" customHeight="1" thickBot="1">
      <c r="A67" s="687"/>
      <c r="B67" s="643"/>
      <c r="C67" s="752" t="s">
        <v>399</v>
      </c>
      <c r="D67" s="751"/>
      <c r="E67" s="1128">
        <v>6124</v>
      </c>
      <c r="F67" s="892">
        <v>400</v>
      </c>
      <c r="G67" s="892">
        <v>400</v>
      </c>
      <c r="H67" s="735" t="s">
        <v>183</v>
      </c>
    </row>
    <row r="68" spans="1:8" s="642" customFormat="1" ht="27" hidden="1" customHeight="1" thickBot="1">
      <c r="A68" s="687"/>
      <c r="B68" s="643"/>
      <c r="C68" s="752" t="s">
        <v>398</v>
      </c>
      <c r="D68" s="751"/>
      <c r="E68" s="1128">
        <v>6125</v>
      </c>
      <c r="F68" s="892"/>
      <c r="G68" s="892"/>
      <c r="H68" s="735" t="s">
        <v>183</v>
      </c>
    </row>
    <row r="69" spans="1:8" s="642" customFormat="1" ht="27" customHeight="1" thickBot="1">
      <c r="A69" s="687"/>
      <c r="B69" s="643"/>
      <c r="C69" s="752" t="s">
        <v>397</v>
      </c>
      <c r="D69" s="751"/>
      <c r="E69" s="1128">
        <v>6126</v>
      </c>
      <c r="F69" s="892">
        <v>50</v>
      </c>
      <c r="G69" s="892">
        <v>50</v>
      </c>
      <c r="H69" s="735" t="s">
        <v>183</v>
      </c>
    </row>
    <row r="70" spans="1:8" s="642" customFormat="1" ht="27" customHeight="1" thickBot="1">
      <c r="A70" s="687"/>
      <c r="B70" s="643"/>
      <c r="C70" s="752" t="s">
        <v>396</v>
      </c>
      <c r="D70" s="751"/>
      <c r="E70" s="1128">
        <v>6127</v>
      </c>
      <c r="F70" s="892">
        <v>100</v>
      </c>
      <c r="G70" s="892">
        <v>100</v>
      </c>
      <c r="H70" s="735" t="s">
        <v>183</v>
      </c>
    </row>
    <row r="71" spans="1:8" s="642" customFormat="1" ht="27" hidden="1" customHeight="1" thickBot="1">
      <c r="A71" s="687"/>
      <c r="B71" s="643"/>
      <c r="C71" s="752" t="s">
        <v>395</v>
      </c>
      <c r="D71" s="751"/>
      <c r="E71" s="1128">
        <v>6128</v>
      </c>
      <c r="F71" s="892"/>
      <c r="G71" s="892"/>
      <c r="H71" s="735" t="s">
        <v>306</v>
      </c>
    </row>
    <row r="72" spans="1:8" s="642" customFormat="1" ht="27" hidden="1" customHeight="1" thickBot="1">
      <c r="A72" s="687"/>
      <c r="B72" s="643"/>
      <c r="C72" s="752" t="s">
        <v>394</v>
      </c>
      <c r="D72" s="751"/>
      <c r="E72" s="1128">
        <v>6129</v>
      </c>
      <c r="F72" s="892"/>
      <c r="G72" s="892"/>
      <c r="H72" s="735" t="s">
        <v>183</v>
      </c>
    </row>
    <row r="73" spans="1:8" s="642" customFormat="1" ht="27" customHeight="1" thickBot="1">
      <c r="A73" s="687"/>
      <c r="B73" s="643"/>
      <c r="C73" s="752" t="s">
        <v>833</v>
      </c>
      <c r="D73" s="751"/>
      <c r="E73" s="1128">
        <v>6130</v>
      </c>
      <c r="F73" s="892">
        <v>1000</v>
      </c>
      <c r="G73" s="892">
        <v>1000</v>
      </c>
      <c r="H73" s="735" t="s">
        <v>306</v>
      </c>
    </row>
    <row r="74" spans="1:8" s="642" customFormat="1" ht="27" hidden="1" customHeight="1" thickBot="1">
      <c r="A74" s="687"/>
      <c r="B74" s="643"/>
      <c r="C74" s="752" t="s">
        <v>393</v>
      </c>
      <c r="D74" s="751"/>
      <c r="E74" s="1128">
        <v>6131</v>
      </c>
      <c r="F74" s="892"/>
      <c r="G74" s="892"/>
      <c r="H74" s="735" t="s">
        <v>306</v>
      </c>
    </row>
    <row r="75" spans="1:8" s="642" customFormat="1" ht="27" hidden="1" customHeight="1" thickBot="1">
      <c r="A75" s="687"/>
      <c r="B75" s="643"/>
      <c r="C75" s="752" t="s">
        <v>392</v>
      </c>
      <c r="D75" s="751"/>
      <c r="E75" s="1128">
        <v>6132</v>
      </c>
      <c r="F75" s="892"/>
      <c r="G75" s="892"/>
      <c r="H75" s="735" t="s">
        <v>306</v>
      </c>
    </row>
    <row r="76" spans="1:8" s="642" customFormat="1" ht="27" customHeight="1">
      <c r="A76" s="687"/>
      <c r="B76" s="643"/>
      <c r="C76" s="695" t="s">
        <v>391</v>
      </c>
      <c r="D76" s="694"/>
      <c r="E76" s="1124">
        <v>6134</v>
      </c>
      <c r="F76" s="889">
        <f>SUM(F77:F78)</f>
        <v>1550</v>
      </c>
      <c r="G76" s="889">
        <f>SUM(G77:G78)</f>
        <v>1550</v>
      </c>
      <c r="H76" s="692"/>
    </row>
    <row r="77" spans="1:8" s="642" customFormat="1" ht="27" hidden="1" customHeight="1">
      <c r="A77" s="687"/>
      <c r="B77" s="643"/>
      <c r="C77" s="690"/>
      <c r="D77" s="749" t="s">
        <v>386</v>
      </c>
      <c r="E77" s="1130" t="s">
        <v>390</v>
      </c>
      <c r="F77" s="885"/>
      <c r="G77" s="885"/>
      <c r="H77" s="677" t="s">
        <v>183</v>
      </c>
    </row>
    <row r="78" spans="1:8" s="642" customFormat="1" ht="27" customHeight="1" thickBot="1">
      <c r="A78" s="687"/>
      <c r="B78" s="643"/>
      <c r="C78" s="685"/>
      <c r="D78" s="646" t="s">
        <v>384</v>
      </c>
      <c r="E78" s="1131" t="s">
        <v>389</v>
      </c>
      <c r="F78" s="894">
        <v>1550</v>
      </c>
      <c r="G78" s="894">
        <v>1550</v>
      </c>
      <c r="H78" s="682" t="s">
        <v>306</v>
      </c>
    </row>
    <row r="79" spans="1:8" s="642" customFormat="1" ht="27" hidden="1" customHeight="1" thickBot="1">
      <c r="A79" s="687"/>
      <c r="B79" s="643"/>
      <c r="C79" s="736" t="s">
        <v>388</v>
      </c>
      <c r="D79" s="635"/>
      <c r="E79" s="1128">
        <v>6135</v>
      </c>
      <c r="F79" s="892"/>
      <c r="G79" s="892"/>
      <c r="H79" s="735" t="s">
        <v>306</v>
      </c>
    </row>
    <row r="80" spans="1:8" s="642" customFormat="1" ht="27" hidden="1" customHeight="1">
      <c r="A80" s="687"/>
      <c r="B80" s="643"/>
      <c r="C80" s="695" t="s">
        <v>387</v>
      </c>
      <c r="D80" s="755"/>
      <c r="E80" s="1124">
        <v>6136</v>
      </c>
      <c r="F80" s="889">
        <f>SUM(F81:F82)</f>
        <v>0</v>
      </c>
      <c r="G80" s="889">
        <f>SUM(G81:G82)</f>
        <v>0</v>
      </c>
      <c r="H80" s="692"/>
    </row>
    <row r="81" spans="1:8" s="642" customFormat="1" ht="27" hidden="1" customHeight="1">
      <c r="A81" s="687"/>
      <c r="B81" s="643"/>
      <c r="C81" s="690"/>
      <c r="D81" s="749" t="s">
        <v>386</v>
      </c>
      <c r="E81" s="1130" t="s">
        <v>385</v>
      </c>
      <c r="F81" s="885"/>
      <c r="G81" s="885"/>
      <c r="H81" s="677" t="s">
        <v>183</v>
      </c>
    </row>
    <row r="82" spans="1:8" s="642" customFormat="1" ht="27" hidden="1" customHeight="1" thickBot="1">
      <c r="A82" s="687"/>
      <c r="B82" s="643"/>
      <c r="C82" s="690"/>
      <c r="D82" s="749" t="s">
        <v>384</v>
      </c>
      <c r="E82" s="1130" t="s">
        <v>383</v>
      </c>
      <c r="F82" s="885"/>
      <c r="G82" s="885"/>
      <c r="H82" s="677" t="s">
        <v>306</v>
      </c>
    </row>
    <row r="83" spans="1:8" s="642" customFormat="1" ht="27" hidden="1" customHeight="1" thickBot="1">
      <c r="A83" s="687"/>
      <c r="B83" s="643"/>
      <c r="C83" s="747" t="s">
        <v>382</v>
      </c>
      <c r="D83" s="746"/>
      <c r="E83" s="1128">
        <v>6137</v>
      </c>
      <c r="F83" s="892"/>
      <c r="G83" s="892"/>
      <c r="H83" s="735" t="s">
        <v>306</v>
      </c>
    </row>
    <row r="84" spans="1:8" s="642" customFormat="1" ht="27" hidden="1" customHeight="1" thickBot="1">
      <c r="A84" s="687"/>
      <c r="B84" s="643"/>
      <c r="C84" s="747" t="s">
        <v>381</v>
      </c>
      <c r="D84" s="746"/>
      <c r="E84" s="1128">
        <v>6138</v>
      </c>
      <c r="F84" s="892"/>
      <c r="G84" s="892"/>
      <c r="H84" s="735" t="s">
        <v>306</v>
      </c>
    </row>
    <row r="85" spans="1:8" s="642" customFormat="1" ht="27" hidden="1" customHeight="1" thickBot="1">
      <c r="A85" s="687"/>
      <c r="B85" s="643"/>
      <c r="C85" s="747" t="s">
        <v>380</v>
      </c>
      <c r="D85" s="746"/>
      <c r="E85" s="1128">
        <v>6140</v>
      </c>
      <c r="F85" s="892"/>
      <c r="G85" s="892"/>
      <c r="H85" s="735" t="s">
        <v>306</v>
      </c>
    </row>
    <row r="86" spans="1:8" s="642" customFormat="1" ht="27" hidden="1" customHeight="1" thickBot="1">
      <c r="A86" s="687"/>
      <c r="B86" s="643"/>
      <c r="C86" s="747" t="s">
        <v>379</v>
      </c>
      <c r="D86" s="746"/>
      <c r="E86" s="1128">
        <v>6141</v>
      </c>
      <c r="F86" s="892"/>
      <c r="G86" s="892"/>
      <c r="H86" s="735" t="s">
        <v>183</v>
      </c>
    </row>
    <row r="87" spans="1:8" s="642" customFormat="1" ht="27" hidden="1" customHeight="1" thickBot="1">
      <c r="A87" s="687"/>
      <c r="B87" s="643"/>
      <c r="C87" s="747" t="s">
        <v>378</v>
      </c>
      <c r="D87" s="746"/>
      <c r="E87" s="1128">
        <v>6142</v>
      </c>
      <c r="F87" s="892"/>
      <c r="G87" s="892"/>
      <c r="H87" s="735" t="s">
        <v>306</v>
      </c>
    </row>
    <row r="88" spans="1:8" s="642" customFormat="1" ht="27" hidden="1" customHeight="1" thickBot="1">
      <c r="A88" s="687"/>
      <c r="B88" s="643"/>
      <c r="C88" s="747" t="s">
        <v>377</v>
      </c>
      <c r="D88" s="746"/>
      <c r="E88" s="1128">
        <v>6143</v>
      </c>
      <c r="F88" s="892"/>
      <c r="G88" s="892"/>
      <c r="H88" s="735" t="s">
        <v>306</v>
      </c>
    </row>
    <row r="89" spans="1:8" s="642" customFormat="1" ht="27" hidden="1" customHeight="1" thickBot="1">
      <c r="A89" s="687"/>
      <c r="B89" s="643"/>
      <c r="C89" s="695" t="s">
        <v>376</v>
      </c>
      <c r="D89" s="694"/>
      <c r="E89" s="1124">
        <v>6144</v>
      </c>
      <c r="F89" s="889"/>
      <c r="G89" s="889"/>
      <c r="H89" s="692" t="s">
        <v>306</v>
      </c>
    </row>
    <row r="90" spans="1:8" s="642" customFormat="1" ht="27" hidden="1" customHeight="1" thickBot="1">
      <c r="A90" s="687"/>
      <c r="B90" s="643"/>
      <c r="C90" s="736" t="s">
        <v>375</v>
      </c>
      <c r="D90" s="635"/>
      <c r="E90" s="1128">
        <v>6150</v>
      </c>
      <c r="F90" s="892"/>
      <c r="G90" s="892"/>
      <c r="H90" s="735" t="s">
        <v>306</v>
      </c>
    </row>
    <row r="91" spans="1:8" s="642" customFormat="1" ht="27" hidden="1" customHeight="1" thickBot="1">
      <c r="A91" s="687"/>
      <c r="B91" s="643"/>
      <c r="C91" s="695" t="s">
        <v>374</v>
      </c>
      <c r="D91" s="694"/>
      <c r="E91" s="1124">
        <v>6151</v>
      </c>
      <c r="F91" s="889"/>
      <c r="G91" s="889"/>
      <c r="H91" s="735" t="s">
        <v>306</v>
      </c>
    </row>
    <row r="92" spans="1:8" s="642" customFormat="1" ht="27" hidden="1" customHeight="1" thickBot="1">
      <c r="A92" s="687"/>
      <c r="B92" s="643"/>
      <c r="C92" s="695" t="s">
        <v>373</v>
      </c>
      <c r="D92" s="694"/>
      <c r="E92" s="1124">
        <v>6152</v>
      </c>
      <c r="F92" s="889">
        <f>SUM(F93:F98)</f>
        <v>0</v>
      </c>
      <c r="G92" s="889">
        <f>SUM(G93:G98)</f>
        <v>0</v>
      </c>
      <c r="H92" s="735" t="s">
        <v>306</v>
      </c>
    </row>
    <row r="93" spans="1:8" s="642" customFormat="1" ht="27" hidden="1" customHeight="1">
      <c r="A93" s="687"/>
      <c r="B93" s="643"/>
      <c r="C93" s="690"/>
      <c r="D93" s="749" t="s">
        <v>372</v>
      </c>
      <c r="E93" s="818" t="s">
        <v>371</v>
      </c>
      <c r="F93" s="885"/>
      <c r="G93" s="885"/>
      <c r="H93" s="677"/>
    </row>
    <row r="94" spans="1:8" s="642" customFormat="1" ht="27" hidden="1" customHeight="1">
      <c r="A94" s="687"/>
      <c r="B94" s="643"/>
      <c r="C94" s="690"/>
      <c r="D94" s="749" t="s">
        <v>370</v>
      </c>
      <c r="E94" s="818" t="s">
        <v>369</v>
      </c>
      <c r="F94" s="885"/>
      <c r="G94" s="885"/>
      <c r="H94" s="677"/>
    </row>
    <row r="95" spans="1:8" s="642" customFormat="1" ht="27" hidden="1" customHeight="1">
      <c r="A95" s="687"/>
      <c r="B95" s="643"/>
      <c r="C95" s="690"/>
      <c r="D95" s="749" t="s">
        <v>368</v>
      </c>
      <c r="E95" s="818" t="s">
        <v>367</v>
      </c>
      <c r="F95" s="885"/>
      <c r="G95" s="885"/>
      <c r="H95" s="677"/>
    </row>
    <row r="96" spans="1:8" s="642" customFormat="1" ht="27" hidden="1" customHeight="1">
      <c r="A96" s="687"/>
      <c r="B96" s="643"/>
      <c r="C96" s="690"/>
      <c r="D96" s="749" t="s">
        <v>366</v>
      </c>
      <c r="E96" s="818" t="s">
        <v>365</v>
      </c>
      <c r="F96" s="885"/>
      <c r="G96" s="885"/>
      <c r="H96" s="677"/>
    </row>
    <row r="97" spans="1:8" s="642" customFormat="1" ht="27" hidden="1" customHeight="1">
      <c r="A97" s="687"/>
      <c r="B97" s="643"/>
      <c r="C97" s="690"/>
      <c r="D97" s="749" t="s">
        <v>364</v>
      </c>
      <c r="E97" s="818" t="s">
        <v>363</v>
      </c>
      <c r="F97" s="885"/>
      <c r="G97" s="885"/>
      <c r="H97" s="677"/>
    </row>
    <row r="98" spans="1:8" s="642" customFormat="1" ht="31.5" hidden="1" customHeight="1" thickBot="1">
      <c r="A98" s="687"/>
      <c r="B98" s="643"/>
      <c r="C98" s="685"/>
      <c r="D98" s="646" t="s">
        <v>362</v>
      </c>
      <c r="E98" s="1129" t="s">
        <v>361</v>
      </c>
      <c r="F98" s="885"/>
      <c r="G98" s="885"/>
      <c r="H98" s="682"/>
    </row>
    <row r="99" spans="1:8" s="642" customFormat="1" ht="27" hidden="1" customHeight="1" thickBot="1">
      <c r="A99" s="687"/>
      <c r="B99" s="643"/>
      <c r="C99" s="695" t="s">
        <v>360</v>
      </c>
      <c r="D99" s="694"/>
      <c r="E99" s="1124">
        <v>6153</v>
      </c>
      <c r="F99" s="889">
        <f>SUM(F100:F104)</f>
        <v>0</v>
      </c>
      <c r="G99" s="889">
        <f>SUM(G100:G104)</f>
        <v>0</v>
      </c>
      <c r="H99" s="735" t="s">
        <v>306</v>
      </c>
    </row>
    <row r="100" spans="1:8" s="642" customFormat="1" ht="27" hidden="1" customHeight="1">
      <c r="A100" s="687"/>
      <c r="B100" s="643"/>
      <c r="C100" s="690"/>
      <c r="D100" s="749" t="s">
        <v>359</v>
      </c>
      <c r="E100" s="1130" t="s">
        <v>358</v>
      </c>
      <c r="F100" s="885"/>
      <c r="G100" s="885"/>
      <c r="H100" s="677"/>
    </row>
    <row r="101" spans="1:8" s="642" customFormat="1" ht="27" hidden="1" customHeight="1">
      <c r="A101" s="687"/>
      <c r="B101" s="643"/>
      <c r="C101" s="690"/>
      <c r="D101" s="749" t="s">
        <v>357</v>
      </c>
      <c r="E101" s="1130" t="s">
        <v>356</v>
      </c>
      <c r="F101" s="885"/>
      <c r="G101" s="885"/>
      <c r="H101" s="677"/>
    </row>
    <row r="102" spans="1:8" s="642" customFormat="1" ht="27" hidden="1" customHeight="1">
      <c r="A102" s="687"/>
      <c r="B102" s="643"/>
      <c r="C102" s="690"/>
      <c r="D102" s="749" t="s">
        <v>355</v>
      </c>
      <c r="E102" s="1130" t="s">
        <v>354</v>
      </c>
      <c r="F102" s="885"/>
      <c r="G102" s="885"/>
      <c r="H102" s="677"/>
    </row>
    <row r="103" spans="1:8" s="642" customFormat="1" ht="27" hidden="1" customHeight="1">
      <c r="A103" s="687"/>
      <c r="B103" s="643"/>
      <c r="C103" s="690"/>
      <c r="D103" s="749" t="s">
        <v>353</v>
      </c>
      <c r="E103" s="1130" t="s">
        <v>352</v>
      </c>
      <c r="F103" s="885"/>
      <c r="G103" s="885"/>
      <c r="H103" s="677"/>
    </row>
    <row r="104" spans="1:8" s="642" customFormat="1" ht="27" hidden="1" customHeight="1" thickBot="1">
      <c r="A104" s="687"/>
      <c r="B104" s="643"/>
      <c r="C104" s="685"/>
      <c r="D104" s="646" t="s">
        <v>351</v>
      </c>
      <c r="E104" s="1131" t="s">
        <v>350</v>
      </c>
      <c r="F104" s="885"/>
      <c r="G104" s="885"/>
      <c r="H104" s="682"/>
    </row>
    <row r="105" spans="1:8" s="642" customFormat="1" ht="27" hidden="1" customHeight="1" thickBot="1">
      <c r="A105" s="687"/>
      <c r="B105" s="643"/>
      <c r="C105" s="753" t="s">
        <v>349</v>
      </c>
      <c r="D105" s="751"/>
      <c r="E105" s="1128">
        <v>6154</v>
      </c>
      <c r="F105" s="892"/>
      <c r="G105" s="892"/>
      <c r="H105" s="735" t="s">
        <v>306</v>
      </c>
    </row>
    <row r="106" spans="1:8" s="642" customFormat="1" ht="27" hidden="1" customHeight="1" thickBot="1">
      <c r="A106" s="687"/>
      <c r="B106" s="643"/>
      <c r="C106" s="752" t="s">
        <v>348</v>
      </c>
      <c r="D106" s="751"/>
      <c r="E106" s="1128">
        <v>6155</v>
      </c>
      <c r="F106" s="892"/>
      <c r="G106" s="892"/>
      <c r="H106" s="735" t="s">
        <v>306</v>
      </c>
    </row>
    <row r="107" spans="1:8" s="642" customFormat="1" ht="27" hidden="1" customHeight="1" thickBot="1">
      <c r="A107" s="687"/>
      <c r="B107" s="643"/>
      <c r="C107" s="752" t="s">
        <v>347</v>
      </c>
      <c r="D107" s="751"/>
      <c r="E107" s="1128">
        <v>6158</v>
      </c>
      <c r="F107" s="892"/>
      <c r="G107" s="892"/>
      <c r="H107" s="735" t="s">
        <v>306</v>
      </c>
    </row>
    <row r="108" spans="1:8" s="642" customFormat="1" ht="27" hidden="1" customHeight="1" thickBot="1">
      <c r="A108" s="687"/>
      <c r="B108" s="643"/>
      <c r="C108" s="717" t="s">
        <v>346</v>
      </c>
      <c r="D108" s="751"/>
      <c r="E108" s="1128">
        <v>6159</v>
      </c>
      <c r="F108" s="892"/>
      <c r="G108" s="892"/>
      <c r="H108" s="735" t="s">
        <v>183</v>
      </c>
    </row>
    <row r="109" spans="1:8" s="642" customFormat="1" ht="27" customHeight="1" thickBot="1">
      <c r="A109" s="687"/>
      <c r="B109" s="643"/>
      <c r="C109" s="695" t="s">
        <v>345</v>
      </c>
      <c r="D109" s="694"/>
      <c r="E109" s="1124">
        <v>6160</v>
      </c>
      <c r="F109" s="889">
        <f>SUM(F110:F121)</f>
        <v>14500</v>
      </c>
      <c r="G109" s="889">
        <f>SUM(G110:G121)</f>
        <v>29550</v>
      </c>
      <c r="H109" s="735" t="s">
        <v>306</v>
      </c>
    </row>
    <row r="110" spans="1:8" s="642" customFormat="1" ht="27" customHeight="1">
      <c r="A110" s="687"/>
      <c r="B110" s="643"/>
      <c r="C110" s="690"/>
      <c r="D110" s="749" t="s">
        <v>873</v>
      </c>
      <c r="E110" s="1130" t="s">
        <v>344</v>
      </c>
      <c r="F110" s="885">
        <v>4000</v>
      </c>
      <c r="G110" s="885">
        <f>15000-G112-G113-G142</f>
        <v>12000</v>
      </c>
      <c r="H110" s="677"/>
    </row>
    <row r="111" spans="1:8" s="642" customFormat="1" ht="27" customHeight="1">
      <c r="A111" s="687"/>
      <c r="B111" s="643"/>
      <c r="C111" s="690"/>
      <c r="D111" s="749" t="s">
        <v>864</v>
      </c>
      <c r="E111" s="1130"/>
      <c r="F111" s="885"/>
      <c r="G111" s="885">
        <v>6000</v>
      </c>
      <c r="H111" s="677"/>
    </row>
    <row r="112" spans="1:8" s="642" customFormat="1" ht="27" hidden="1" customHeight="1">
      <c r="A112" s="687"/>
      <c r="B112" s="643"/>
      <c r="C112" s="690"/>
      <c r="D112" s="749" t="s">
        <v>343</v>
      </c>
      <c r="E112" s="1130" t="s">
        <v>342</v>
      </c>
      <c r="F112" s="885"/>
      <c r="G112" s="885"/>
      <c r="H112" s="677"/>
    </row>
    <row r="113" spans="1:8" s="642" customFormat="1" ht="27" customHeight="1">
      <c r="A113" s="687"/>
      <c r="B113" s="643"/>
      <c r="C113" s="690"/>
      <c r="D113" s="749" t="s">
        <v>341</v>
      </c>
      <c r="E113" s="1130" t="s">
        <v>340</v>
      </c>
      <c r="F113" s="885"/>
      <c r="G113" s="885">
        <v>1000</v>
      </c>
      <c r="H113" s="677"/>
    </row>
    <row r="114" spans="1:8" s="642" customFormat="1" ht="27" hidden="1" customHeight="1">
      <c r="A114" s="687"/>
      <c r="B114" s="643"/>
      <c r="C114" s="690"/>
      <c r="D114" s="749" t="s">
        <v>339</v>
      </c>
      <c r="E114" s="1130" t="s">
        <v>338</v>
      </c>
      <c r="F114" s="885"/>
      <c r="G114" s="885"/>
      <c r="H114" s="677"/>
    </row>
    <row r="115" spans="1:8" s="642" customFormat="1" ht="27" hidden="1" customHeight="1">
      <c r="A115" s="687"/>
      <c r="B115" s="643"/>
      <c r="C115" s="690"/>
      <c r="D115" s="749" t="s">
        <v>337</v>
      </c>
      <c r="E115" s="1130" t="s">
        <v>336</v>
      </c>
      <c r="F115" s="885"/>
      <c r="G115" s="885"/>
      <c r="H115" s="677"/>
    </row>
    <row r="116" spans="1:8" s="642" customFormat="1" ht="27" hidden="1" customHeight="1">
      <c r="A116" s="687"/>
      <c r="B116" s="643"/>
      <c r="C116" s="690"/>
      <c r="D116" s="749" t="s">
        <v>335</v>
      </c>
      <c r="E116" s="818"/>
      <c r="F116" s="885"/>
      <c r="G116" s="885"/>
      <c r="H116" s="677"/>
    </row>
    <row r="117" spans="1:8" s="642" customFormat="1" ht="27" hidden="1" customHeight="1">
      <c r="A117" s="687"/>
      <c r="B117" s="643"/>
      <c r="C117" s="690"/>
      <c r="D117" s="749" t="s">
        <v>334</v>
      </c>
      <c r="E117" s="1130" t="s">
        <v>333</v>
      </c>
      <c r="F117" s="885"/>
      <c r="G117" s="885"/>
      <c r="H117" s="677"/>
    </row>
    <row r="118" spans="1:8" s="642" customFormat="1" ht="27" hidden="1" customHeight="1">
      <c r="A118" s="687"/>
      <c r="B118" s="643"/>
      <c r="C118" s="690"/>
      <c r="D118" s="643" t="s">
        <v>332</v>
      </c>
      <c r="E118" s="1130" t="s">
        <v>331</v>
      </c>
      <c r="F118" s="885"/>
      <c r="G118" s="885"/>
      <c r="H118" s="677"/>
    </row>
    <row r="119" spans="1:8" s="642" customFormat="1" ht="27" hidden="1" customHeight="1">
      <c r="A119" s="687"/>
      <c r="B119" s="643"/>
      <c r="C119" s="690"/>
      <c r="D119" s="643" t="s">
        <v>330</v>
      </c>
      <c r="E119" s="1130" t="s">
        <v>329</v>
      </c>
      <c r="F119" s="885"/>
      <c r="G119" s="885"/>
      <c r="H119" s="677"/>
    </row>
    <row r="120" spans="1:8" s="642" customFormat="1" ht="27" customHeight="1" thickBot="1">
      <c r="A120" s="687"/>
      <c r="B120" s="643"/>
      <c r="C120" s="690"/>
      <c r="D120" s="643" t="s">
        <v>328</v>
      </c>
      <c r="E120" s="1130" t="s">
        <v>327</v>
      </c>
      <c r="F120" s="885">
        <v>10500</v>
      </c>
      <c r="G120" s="885">
        <v>10550</v>
      </c>
      <c r="H120" s="677"/>
    </row>
    <row r="121" spans="1:8" s="642" customFormat="1" ht="27" hidden="1" customHeight="1" thickBot="1">
      <c r="A121" s="687"/>
      <c r="B121" s="643"/>
      <c r="C121" s="685"/>
      <c r="D121" s="750" t="s">
        <v>326</v>
      </c>
      <c r="E121" s="1131" t="s">
        <v>325</v>
      </c>
      <c r="F121" s="885"/>
      <c r="G121" s="885"/>
      <c r="H121" s="682"/>
    </row>
    <row r="122" spans="1:8" s="642" customFormat="1" ht="27" hidden="1" customHeight="1" thickBot="1">
      <c r="A122" s="687"/>
      <c r="B122" s="643"/>
      <c r="C122" s="747" t="s">
        <v>324</v>
      </c>
      <c r="D122" s="746"/>
      <c r="E122" s="1128">
        <v>6161</v>
      </c>
      <c r="F122" s="892"/>
      <c r="G122" s="892"/>
      <c r="H122" s="735" t="s">
        <v>306</v>
      </c>
    </row>
    <row r="123" spans="1:8" s="642" customFormat="1" ht="27" hidden="1" customHeight="1" thickBot="1">
      <c r="A123" s="687"/>
      <c r="B123" s="643"/>
      <c r="C123" s="747" t="s">
        <v>323</v>
      </c>
      <c r="D123" s="746"/>
      <c r="E123" s="1128">
        <v>6162</v>
      </c>
      <c r="F123" s="892"/>
      <c r="G123" s="892"/>
      <c r="H123" s="735" t="s">
        <v>306</v>
      </c>
    </row>
    <row r="124" spans="1:8" s="642" customFormat="1" ht="27" customHeight="1" thickBot="1">
      <c r="A124" s="687"/>
      <c r="B124" s="643"/>
      <c r="C124" s="695" t="s">
        <v>322</v>
      </c>
      <c r="D124" s="694"/>
      <c r="E124" s="1124">
        <v>6163</v>
      </c>
      <c r="F124" s="889">
        <f>SUM(F125:F132)</f>
        <v>1000</v>
      </c>
      <c r="G124" s="889">
        <f>SUM(G125:G132)</f>
        <v>3220</v>
      </c>
      <c r="H124" s="735" t="s">
        <v>306</v>
      </c>
    </row>
    <row r="125" spans="1:8" s="642" customFormat="1" ht="27" customHeight="1">
      <c r="A125" s="687"/>
      <c r="B125" s="643"/>
      <c r="C125" s="690"/>
      <c r="D125" s="749" t="s">
        <v>868</v>
      </c>
      <c r="E125" s="1130" t="s">
        <v>321</v>
      </c>
      <c r="F125" s="885">
        <v>1000</v>
      </c>
      <c r="G125" s="885">
        <v>2220</v>
      </c>
      <c r="H125" s="677"/>
    </row>
    <row r="126" spans="1:8" s="642" customFormat="1" ht="27" customHeight="1" thickBot="1">
      <c r="A126" s="687"/>
      <c r="B126" s="643"/>
      <c r="C126" s="690"/>
      <c r="D126" s="749" t="s">
        <v>865</v>
      </c>
      <c r="E126" s="1130"/>
      <c r="F126" s="885"/>
      <c r="G126" s="885">
        <v>1000</v>
      </c>
      <c r="H126" s="677"/>
    </row>
    <row r="127" spans="1:8" s="642" customFormat="1" ht="27" hidden="1" customHeight="1">
      <c r="A127" s="687"/>
      <c r="B127" s="643"/>
      <c r="C127" s="690"/>
      <c r="D127" s="749" t="s">
        <v>320</v>
      </c>
      <c r="E127" s="1130" t="s">
        <v>319</v>
      </c>
      <c r="F127" s="885"/>
      <c r="G127" s="885"/>
      <c r="H127" s="677"/>
    </row>
    <row r="128" spans="1:8" s="642" customFormat="1" ht="27" hidden="1" customHeight="1">
      <c r="A128" s="687"/>
      <c r="B128" s="643"/>
      <c r="C128" s="690"/>
      <c r="D128" s="749" t="s">
        <v>318</v>
      </c>
      <c r="E128" s="1130" t="s">
        <v>317</v>
      </c>
      <c r="F128" s="885"/>
      <c r="G128" s="885"/>
      <c r="H128" s="677"/>
    </row>
    <row r="129" spans="1:8" s="642" customFormat="1" ht="27" hidden="1" customHeight="1">
      <c r="A129" s="687"/>
      <c r="B129" s="643"/>
      <c r="C129" s="690"/>
      <c r="D129" s="749" t="s">
        <v>316</v>
      </c>
      <c r="E129" s="1130" t="s">
        <v>315</v>
      </c>
      <c r="F129" s="885"/>
      <c r="G129" s="885"/>
      <c r="H129" s="677"/>
    </row>
    <row r="130" spans="1:8" s="642" customFormat="1" ht="27" hidden="1" customHeight="1">
      <c r="A130" s="687"/>
      <c r="B130" s="643"/>
      <c r="C130" s="690"/>
      <c r="D130" s="749" t="s">
        <v>314</v>
      </c>
      <c r="E130" s="1130" t="s">
        <v>313</v>
      </c>
      <c r="F130" s="885"/>
      <c r="G130" s="885"/>
      <c r="H130" s="677"/>
    </row>
    <row r="131" spans="1:8" s="642" customFormat="1" ht="27" hidden="1" customHeight="1">
      <c r="A131" s="687"/>
      <c r="B131" s="643"/>
      <c r="C131" s="690"/>
      <c r="D131" s="749" t="s">
        <v>312</v>
      </c>
      <c r="E131" s="1130" t="s">
        <v>311</v>
      </c>
      <c r="F131" s="885"/>
      <c r="G131" s="885"/>
      <c r="H131" s="677"/>
    </row>
    <row r="132" spans="1:8" s="642" customFormat="1" ht="27" hidden="1" customHeight="1" thickBot="1">
      <c r="A132" s="687"/>
      <c r="B132" s="643"/>
      <c r="C132" s="685"/>
      <c r="D132" s="646" t="s">
        <v>310</v>
      </c>
      <c r="E132" s="1131" t="s">
        <v>309</v>
      </c>
      <c r="F132" s="885"/>
      <c r="G132" s="885"/>
      <c r="H132" s="682"/>
    </row>
    <row r="133" spans="1:8" s="642" customFormat="1" ht="27" hidden="1" customHeight="1" thickBot="1">
      <c r="A133" s="687"/>
      <c r="B133" s="643"/>
      <c r="C133" s="747" t="s">
        <v>308</v>
      </c>
      <c r="D133" s="746"/>
      <c r="E133" s="1128">
        <v>6168</v>
      </c>
      <c r="F133" s="892"/>
      <c r="G133" s="892"/>
      <c r="H133" s="735" t="s">
        <v>306</v>
      </c>
    </row>
    <row r="134" spans="1:8" s="642" customFormat="1" ht="27" hidden="1" customHeight="1" thickBot="1">
      <c r="A134" s="687"/>
      <c r="B134" s="643"/>
      <c r="C134" s="695" t="s">
        <v>307</v>
      </c>
      <c r="D134" s="694"/>
      <c r="E134" s="1124">
        <v>6169</v>
      </c>
      <c r="F134" s="893"/>
      <c r="G134" s="893"/>
      <c r="H134" s="692" t="s">
        <v>306</v>
      </c>
    </row>
    <row r="135" spans="1:8" s="642" customFormat="1" ht="27" hidden="1" customHeight="1" thickBot="1">
      <c r="A135" s="687"/>
      <c r="B135" s="745" t="s">
        <v>305</v>
      </c>
      <c r="C135" s="744"/>
      <c r="D135" s="741"/>
      <c r="E135" s="719">
        <v>617</v>
      </c>
      <c r="F135" s="895"/>
      <c r="G135" s="895"/>
      <c r="H135" s="718" t="s">
        <v>303</v>
      </c>
    </row>
    <row r="136" spans="1:8" s="642" customFormat="1" ht="27" hidden="1" customHeight="1" thickTop="1" thickBot="1">
      <c r="A136" s="687"/>
      <c r="B136" s="743" t="s">
        <v>304</v>
      </c>
      <c r="C136" s="742"/>
      <c r="D136" s="741"/>
      <c r="E136" s="719">
        <v>618</v>
      </c>
      <c r="F136" s="895"/>
      <c r="G136" s="895"/>
      <c r="H136" s="718" t="s">
        <v>303</v>
      </c>
    </row>
    <row r="137" spans="1:8" s="642" customFormat="1" ht="27" customHeight="1" thickBot="1">
      <c r="A137" s="687"/>
      <c r="B137" s="740" t="s">
        <v>302</v>
      </c>
      <c r="C137" s="739"/>
      <c r="D137" s="720"/>
      <c r="E137" s="819">
        <v>619</v>
      </c>
      <c r="F137" s="896">
        <f>SUM(F138+F139+F140+F141+F142+F143+F145+F146+F147+F148)</f>
        <v>23000</v>
      </c>
      <c r="G137" s="896">
        <f>SUM(G138+G139+G140+G141+G142+G143+G145+G146+G147+G148)</f>
        <v>25460</v>
      </c>
      <c r="H137" s="718"/>
    </row>
    <row r="138" spans="1:8" s="642" customFormat="1" ht="27" hidden="1" customHeight="1" thickBot="1">
      <c r="A138" s="687"/>
      <c r="B138" s="737"/>
      <c r="C138" s="685" t="s">
        <v>301</v>
      </c>
      <c r="D138" s="646"/>
      <c r="E138" s="1129">
        <v>6190</v>
      </c>
      <c r="F138" s="894"/>
      <c r="G138" s="894"/>
      <c r="H138" s="682" t="s">
        <v>188</v>
      </c>
    </row>
    <row r="139" spans="1:8" s="642" customFormat="1" ht="27" hidden="1" customHeight="1" thickBot="1">
      <c r="A139" s="687"/>
      <c r="B139" s="737"/>
      <c r="C139" s="736" t="s">
        <v>300</v>
      </c>
      <c r="D139" s="635"/>
      <c r="E139" s="1128">
        <v>6191</v>
      </c>
      <c r="F139" s="894"/>
      <c r="G139" s="894"/>
      <c r="H139" s="735" t="s">
        <v>259</v>
      </c>
    </row>
    <row r="140" spans="1:8" s="642" customFormat="1" ht="27" hidden="1" customHeight="1" thickBot="1">
      <c r="A140" s="687"/>
      <c r="B140" s="737"/>
      <c r="C140" s="736" t="s">
        <v>299</v>
      </c>
      <c r="D140" s="635"/>
      <c r="E140" s="1128">
        <v>6192</v>
      </c>
      <c r="F140" s="894"/>
      <c r="G140" s="894"/>
      <c r="H140" s="735" t="s">
        <v>188</v>
      </c>
    </row>
    <row r="141" spans="1:8" s="642" customFormat="1" ht="27" hidden="1" customHeight="1" thickBot="1">
      <c r="A141" s="687"/>
      <c r="B141" s="737"/>
      <c r="C141" s="736" t="s">
        <v>298</v>
      </c>
      <c r="D141" s="635"/>
      <c r="E141" s="1128">
        <v>6193</v>
      </c>
      <c r="F141" s="894"/>
      <c r="G141" s="894"/>
      <c r="H141" s="735" t="s">
        <v>192</v>
      </c>
    </row>
    <row r="142" spans="1:8" s="642" customFormat="1" ht="27" customHeight="1" thickBot="1">
      <c r="A142" s="687"/>
      <c r="B142" s="737"/>
      <c r="C142" s="736" t="s">
        <v>871</v>
      </c>
      <c r="D142" s="635"/>
      <c r="E142" s="1128">
        <v>6194</v>
      </c>
      <c r="F142" s="894"/>
      <c r="G142" s="894">
        <v>2000</v>
      </c>
      <c r="H142" s="735" t="s">
        <v>259</v>
      </c>
    </row>
    <row r="143" spans="1:8" s="642" customFormat="1" ht="27" hidden="1" customHeight="1" thickBot="1">
      <c r="A143" s="687"/>
      <c r="B143" s="737"/>
      <c r="C143" s="736" t="s">
        <v>297</v>
      </c>
      <c r="D143" s="635"/>
      <c r="E143" s="1128">
        <v>6195</v>
      </c>
      <c r="F143" s="894"/>
      <c r="G143" s="894"/>
      <c r="H143" s="735" t="s">
        <v>188</v>
      </c>
    </row>
    <row r="144" spans="1:8" s="642" customFormat="1" ht="27" hidden="1" customHeight="1">
      <c r="A144" s="687"/>
      <c r="B144" s="737"/>
      <c r="C144" s="695" t="s">
        <v>296</v>
      </c>
      <c r="D144" s="738"/>
      <c r="E144" s="1124"/>
      <c r="F144" s="893"/>
      <c r="G144" s="893"/>
      <c r="H144" s="692"/>
    </row>
    <row r="145" spans="1:8" s="642" customFormat="1" ht="27" hidden="1" customHeight="1" thickBot="1">
      <c r="A145" s="687"/>
      <c r="B145" s="737"/>
      <c r="C145" s="685" t="s">
        <v>295</v>
      </c>
      <c r="D145" s="646"/>
      <c r="E145" s="1129">
        <v>6196</v>
      </c>
      <c r="F145" s="894"/>
      <c r="G145" s="894"/>
      <c r="H145" s="682" t="s">
        <v>192</v>
      </c>
    </row>
    <row r="146" spans="1:8" s="642" customFormat="1" ht="27" hidden="1" customHeight="1" thickBot="1">
      <c r="A146" s="687"/>
      <c r="B146" s="737"/>
      <c r="C146" s="736" t="s">
        <v>294</v>
      </c>
      <c r="D146" s="635"/>
      <c r="E146" s="1128">
        <v>6197</v>
      </c>
      <c r="F146" s="892"/>
      <c r="G146" s="892"/>
      <c r="H146" s="735" t="s">
        <v>192</v>
      </c>
    </row>
    <row r="147" spans="1:8" s="642" customFormat="1" ht="27" hidden="1" customHeight="1" thickBot="1">
      <c r="A147" s="687"/>
      <c r="B147" s="737"/>
      <c r="C147" s="736" t="s">
        <v>293</v>
      </c>
      <c r="D147" s="635"/>
      <c r="E147" s="1128">
        <v>6198</v>
      </c>
      <c r="F147" s="892"/>
      <c r="G147" s="892"/>
      <c r="H147" s="735" t="s">
        <v>199</v>
      </c>
    </row>
    <row r="148" spans="1:8" s="642" customFormat="1" ht="27" customHeight="1">
      <c r="A148" s="687"/>
      <c r="B148" s="734"/>
      <c r="C148" s="695" t="s">
        <v>292</v>
      </c>
      <c r="D148" s="694"/>
      <c r="E148" s="1124">
        <v>6199</v>
      </c>
      <c r="F148" s="897">
        <f>SUM(F149:F153)</f>
        <v>23000</v>
      </c>
      <c r="G148" s="897">
        <f>SUM(G149:G153)</f>
        <v>23460</v>
      </c>
      <c r="H148" s="692"/>
    </row>
    <row r="149" spans="1:8" s="706" customFormat="1" ht="27" customHeight="1" thickBot="1">
      <c r="A149" s="710"/>
      <c r="B149" s="733"/>
      <c r="C149" s="732" t="s">
        <v>879</v>
      </c>
      <c r="D149" s="731"/>
      <c r="E149" s="1130" t="s">
        <v>291</v>
      </c>
      <c r="F149" s="898">
        <v>23000</v>
      </c>
      <c r="G149" s="898">
        <v>23460</v>
      </c>
      <c r="H149" s="677" t="s">
        <v>262</v>
      </c>
    </row>
    <row r="150" spans="1:8" s="706" customFormat="1" ht="27" hidden="1" customHeight="1">
      <c r="A150" s="710"/>
      <c r="B150" s="733"/>
      <c r="C150" s="732" t="s">
        <v>848</v>
      </c>
      <c r="D150" s="731"/>
      <c r="E150" s="1130" t="s">
        <v>290</v>
      </c>
      <c r="F150" s="898"/>
      <c r="G150" s="898"/>
      <c r="H150" s="677" t="s">
        <v>192</v>
      </c>
    </row>
    <row r="151" spans="1:8" s="706" customFormat="1" ht="27" hidden="1" customHeight="1">
      <c r="A151" s="710"/>
      <c r="B151" s="733"/>
      <c r="C151" s="732" t="s">
        <v>289</v>
      </c>
      <c r="D151" s="731"/>
      <c r="E151" s="1130" t="s">
        <v>288</v>
      </c>
      <c r="F151" s="898"/>
      <c r="G151" s="898"/>
      <c r="H151" s="677" t="s">
        <v>192</v>
      </c>
    </row>
    <row r="152" spans="1:8" s="706" customFormat="1" ht="27" hidden="1" customHeight="1">
      <c r="A152" s="710"/>
      <c r="B152" s="733"/>
      <c r="C152" s="732" t="s">
        <v>287</v>
      </c>
      <c r="D152" s="731"/>
      <c r="E152" s="1130" t="s">
        <v>286</v>
      </c>
      <c r="F152" s="898"/>
      <c r="G152" s="898"/>
      <c r="H152" s="677" t="s">
        <v>192</v>
      </c>
    </row>
    <row r="153" spans="1:8" s="706" customFormat="1" ht="27" hidden="1" customHeight="1" thickBot="1">
      <c r="A153" s="729"/>
      <c r="B153" s="728"/>
      <c r="C153" s="727" t="s">
        <v>285</v>
      </c>
      <c r="D153" s="726"/>
      <c r="E153" s="1132" t="s">
        <v>284</v>
      </c>
      <c r="F153" s="898"/>
      <c r="G153" s="898"/>
      <c r="H153" s="725" t="s">
        <v>188</v>
      </c>
    </row>
    <row r="154" spans="1:8" s="642" customFormat="1" ht="27" customHeight="1" thickTop="1" thickBot="1">
      <c r="A154" s="724" t="s">
        <v>283</v>
      </c>
      <c r="B154" s="666"/>
      <c r="C154" s="666"/>
      <c r="D154" s="665"/>
      <c r="E154" s="723">
        <v>62</v>
      </c>
      <c r="F154" s="888">
        <f>SUM(F155)</f>
        <v>181700</v>
      </c>
      <c r="G154" s="888">
        <f>SUM(G155)</f>
        <v>225200</v>
      </c>
      <c r="H154" s="677"/>
    </row>
    <row r="155" spans="1:8" s="642" customFormat="1" ht="27" customHeight="1" thickBot="1">
      <c r="A155" s="687"/>
      <c r="B155" s="722" t="s">
        <v>282</v>
      </c>
      <c r="C155" s="721"/>
      <c r="D155" s="720"/>
      <c r="E155" s="819">
        <v>620</v>
      </c>
      <c r="F155" s="896">
        <f>SUM(F156+F157+F166+F202+F213)</f>
        <v>181700</v>
      </c>
      <c r="G155" s="896">
        <f>SUM(G156+G157+G166+G202+G213)</f>
        <v>225200</v>
      </c>
      <c r="H155" s="718"/>
    </row>
    <row r="156" spans="1:8" s="642" customFormat="1" ht="27" hidden="1" customHeight="1" thickBot="1">
      <c r="A156" s="687"/>
      <c r="B156" s="686"/>
      <c r="C156" s="717" t="s">
        <v>281</v>
      </c>
      <c r="D156" s="716"/>
      <c r="E156" s="1133">
        <v>6200</v>
      </c>
      <c r="F156" s="899"/>
      <c r="G156" s="899"/>
      <c r="H156" s="715" t="s">
        <v>188</v>
      </c>
    </row>
    <row r="157" spans="1:8" s="642" customFormat="1" ht="27" customHeight="1">
      <c r="A157" s="687"/>
      <c r="B157" s="696"/>
      <c r="C157" s="695" t="s">
        <v>280</v>
      </c>
      <c r="D157" s="694"/>
      <c r="E157" s="1124">
        <v>6201</v>
      </c>
      <c r="F157" s="900">
        <f>SUM(F158+F159+F162+F163+F164+F165)</f>
        <v>52000</v>
      </c>
      <c r="G157" s="900">
        <f>SUM(G158+G159+G162+G163+G164+G165)</f>
        <v>53040</v>
      </c>
      <c r="H157" s="692"/>
    </row>
    <row r="158" spans="1:8" s="706" customFormat="1" ht="27" hidden="1" customHeight="1">
      <c r="A158" s="710"/>
      <c r="B158" s="712"/>
      <c r="C158" s="711"/>
      <c r="D158" s="704" t="s">
        <v>279</v>
      </c>
      <c r="E158" s="1134" t="s">
        <v>278</v>
      </c>
      <c r="F158" s="898"/>
      <c r="G158" s="898"/>
      <c r="H158" s="677" t="s">
        <v>188</v>
      </c>
    </row>
    <row r="159" spans="1:8" s="706" customFormat="1" ht="27" customHeight="1">
      <c r="A159" s="710"/>
      <c r="B159" s="712"/>
      <c r="C159" s="711"/>
      <c r="D159" s="714" t="s">
        <v>277</v>
      </c>
      <c r="E159" s="1140" t="s">
        <v>276</v>
      </c>
      <c r="F159" s="901">
        <v>26000</v>
      </c>
      <c r="G159" s="901">
        <f>F159*1.02</f>
        <v>26520</v>
      </c>
      <c r="H159" s="677" t="s">
        <v>259</v>
      </c>
    </row>
    <row r="160" spans="1:8" s="706" customFormat="1" ht="27" customHeight="1">
      <c r="A160" s="710"/>
      <c r="B160" s="712"/>
      <c r="C160" s="711"/>
      <c r="D160" s="1123" t="s">
        <v>275</v>
      </c>
      <c r="E160" s="818" t="s">
        <v>274</v>
      </c>
      <c r="F160" s="898">
        <v>26000</v>
      </c>
      <c r="G160" s="901">
        <f t="shared" ref="G160:G165" si="0">F160*1.02</f>
        <v>26520</v>
      </c>
      <c r="H160" s="677"/>
    </row>
    <row r="161" spans="1:8" s="706" customFormat="1" ht="27" hidden="1" customHeight="1">
      <c r="A161" s="710"/>
      <c r="B161" s="712"/>
      <c r="C161" s="711"/>
      <c r="D161" s="713" t="s">
        <v>273</v>
      </c>
      <c r="E161" s="818" t="s">
        <v>272</v>
      </c>
      <c r="F161" s="898"/>
      <c r="G161" s="901">
        <f t="shared" si="0"/>
        <v>0</v>
      </c>
      <c r="H161" s="677"/>
    </row>
    <row r="162" spans="1:8" s="706" customFormat="1" ht="27" customHeight="1" thickBot="1">
      <c r="A162" s="710"/>
      <c r="B162" s="712"/>
      <c r="C162" s="711"/>
      <c r="D162" s="704" t="s">
        <v>271</v>
      </c>
      <c r="E162" s="1141" t="s">
        <v>270</v>
      </c>
      <c r="F162" s="902">
        <v>26000</v>
      </c>
      <c r="G162" s="901">
        <f t="shared" si="0"/>
        <v>26520</v>
      </c>
      <c r="H162" s="677" t="s">
        <v>188</v>
      </c>
    </row>
    <row r="163" spans="1:8" s="706" customFormat="1" ht="27" hidden="1" customHeight="1">
      <c r="A163" s="710"/>
      <c r="B163" s="712"/>
      <c r="C163" s="711"/>
      <c r="D163" s="704" t="s">
        <v>269</v>
      </c>
      <c r="E163" s="1134" t="s">
        <v>268</v>
      </c>
      <c r="F163" s="903"/>
      <c r="G163" s="901">
        <f t="shared" si="0"/>
        <v>0</v>
      </c>
      <c r="H163" s="677" t="s">
        <v>262</v>
      </c>
    </row>
    <row r="164" spans="1:8" s="706" customFormat="1" ht="27" hidden="1" customHeight="1">
      <c r="A164" s="710"/>
      <c r="B164" s="712"/>
      <c r="C164" s="711"/>
      <c r="D164" s="704" t="s">
        <v>267</v>
      </c>
      <c r="E164" s="1134" t="s">
        <v>266</v>
      </c>
      <c r="F164" s="903"/>
      <c r="G164" s="901">
        <f t="shared" si="0"/>
        <v>0</v>
      </c>
      <c r="H164" s="677" t="s">
        <v>199</v>
      </c>
    </row>
    <row r="165" spans="1:8" s="706" customFormat="1" ht="27" hidden="1" customHeight="1" thickBot="1">
      <c r="A165" s="710"/>
      <c r="B165" s="709"/>
      <c r="C165" s="708"/>
      <c r="D165" s="707" t="s">
        <v>218</v>
      </c>
      <c r="E165" s="1135" t="s">
        <v>265</v>
      </c>
      <c r="F165" s="904"/>
      <c r="G165" s="901">
        <f t="shared" si="0"/>
        <v>0</v>
      </c>
      <c r="H165" s="682" t="s">
        <v>188</v>
      </c>
    </row>
    <row r="166" spans="1:8" s="642" customFormat="1" ht="27" customHeight="1">
      <c r="A166" s="687"/>
      <c r="B166" s="696"/>
      <c r="C166" s="695" t="s">
        <v>264</v>
      </c>
      <c r="D166" s="694"/>
      <c r="E166" s="1124">
        <v>6202</v>
      </c>
      <c r="F166" s="889">
        <f>SUM(F167+F168+F169+F170+F171+F199+F200+F201)</f>
        <v>129700</v>
      </c>
      <c r="G166" s="889">
        <f>SUM(G167+G168+G169+G170+G171+G199+G200+G201)</f>
        <v>172160</v>
      </c>
      <c r="H166" s="692"/>
    </row>
    <row r="167" spans="1:8" s="642" customFormat="1" ht="27" hidden="1" customHeight="1">
      <c r="A167" s="687"/>
      <c r="B167" s="691"/>
      <c r="C167" s="690"/>
      <c r="D167" s="704" t="s">
        <v>263</v>
      </c>
      <c r="E167" s="1136">
        <v>62020</v>
      </c>
      <c r="F167" s="905"/>
      <c r="G167" s="906"/>
      <c r="H167" s="705" t="s">
        <v>188</v>
      </c>
    </row>
    <row r="168" spans="1:8" s="642" customFormat="1" ht="27" customHeight="1">
      <c r="A168" s="687"/>
      <c r="B168" s="691"/>
      <c r="C168" s="690"/>
      <c r="D168" s="704" t="s">
        <v>835</v>
      </c>
      <c r="E168" s="1141">
        <v>62021</v>
      </c>
      <c r="F168" s="907">
        <v>26000</v>
      </c>
      <c r="G168" s="901">
        <f t="shared" ref="G168" si="1">F168*1.02</f>
        <v>26520</v>
      </c>
      <c r="H168" s="703" t="s">
        <v>192</v>
      </c>
    </row>
    <row r="169" spans="1:8" s="642" customFormat="1" ht="27" hidden="1" customHeight="1">
      <c r="A169" s="687"/>
      <c r="B169" s="691"/>
      <c r="C169" s="690"/>
      <c r="D169" s="704" t="s">
        <v>836</v>
      </c>
      <c r="E169" s="1141">
        <v>62022</v>
      </c>
      <c r="F169" s="907"/>
      <c r="G169" s="901"/>
      <c r="H169" s="703" t="s">
        <v>262</v>
      </c>
    </row>
    <row r="170" spans="1:8" s="642" customFormat="1" hidden="1">
      <c r="A170" s="687"/>
      <c r="B170" s="691"/>
      <c r="C170" s="690"/>
      <c r="D170" s="704" t="s">
        <v>261</v>
      </c>
      <c r="E170" s="1141">
        <v>62023</v>
      </c>
      <c r="F170" s="907"/>
      <c r="G170" s="908"/>
      <c r="H170" s="703" t="s">
        <v>192</v>
      </c>
    </row>
    <row r="171" spans="1:8" s="642" customFormat="1" ht="27" customHeight="1">
      <c r="A171" s="687"/>
      <c r="B171" s="691"/>
      <c r="C171" s="690"/>
      <c r="D171" s="702" t="s">
        <v>260</v>
      </c>
      <c r="E171" s="1140">
        <v>62024</v>
      </c>
      <c r="F171" s="897">
        <f>SUM(F172:F198)</f>
        <v>77700</v>
      </c>
      <c r="G171" s="897">
        <f>SUM(G172:G198)</f>
        <v>119120</v>
      </c>
      <c r="H171" s="677" t="s">
        <v>259</v>
      </c>
    </row>
    <row r="172" spans="1:8" s="642" customFormat="1" ht="27" customHeight="1">
      <c r="A172" s="687"/>
      <c r="B172" s="691"/>
      <c r="C172" s="690"/>
      <c r="D172" s="701" t="s">
        <v>872</v>
      </c>
      <c r="E172" s="818" t="s">
        <v>258</v>
      </c>
      <c r="F172" s="885">
        <v>1000</v>
      </c>
      <c r="G172" s="885">
        <v>2220</v>
      </c>
      <c r="H172" s="677"/>
    </row>
    <row r="173" spans="1:8" s="642" customFormat="1" ht="27" customHeight="1">
      <c r="A173" s="687"/>
      <c r="B173" s="691"/>
      <c r="C173" s="690"/>
      <c r="D173" s="701" t="s">
        <v>866</v>
      </c>
      <c r="E173" s="818"/>
      <c r="F173" s="885"/>
      <c r="G173" s="885">
        <v>1000</v>
      </c>
      <c r="H173" s="677"/>
    </row>
    <row r="174" spans="1:8" s="642" customFormat="1" ht="27" hidden="1" customHeight="1">
      <c r="A174" s="687"/>
      <c r="B174" s="691"/>
      <c r="C174" s="690"/>
      <c r="D174" s="701" t="s">
        <v>257</v>
      </c>
      <c r="E174" s="818" t="s">
        <v>256</v>
      </c>
      <c r="F174" s="885"/>
      <c r="G174" s="885"/>
      <c r="H174" s="677"/>
    </row>
    <row r="175" spans="1:8" s="642" customFormat="1" ht="27" hidden="1" customHeight="1">
      <c r="A175" s="687"/>
      <c r="B175" s="691"/>
      <c r="C175" s="690"/>
      <c r="D175" s="701" t="s">
        <v>255</v>
      </c>
      <c r="E175" s="818" t="s">
        <v>254</v>
      </c>
      <c r="F175" s="885"/>
      <c r="G175" s="885"/>
      <c r="H175" s="677"/>
    </row>
    <row r="176" spans="1:8" s="642" customFormat="1" ht="27" customHeight="1">
      <c r="A176" s="687"/>
      <c r="B176" s="691"/>
      <c r="C176" s="690"/>
      <c r="D176" s="700" t="s">
        <v>834</v>
      </c>
      <c r="E176" s="818" t="s">
        <v>253</v>
      </c>
      <c r="F176" s="885">
        <v>53700</v>
      </c>
      <c r="G176" s="885">
        <v>61100</v>
      </c>
      <c r="H176" s="677"/>
    </row>
    <row r="177" spans="1:8" s="642" customFormat="1" ht="27" hidden="1" customHeight="1">
      <c r="A177" s="687"/>
      <c r="B177" s="691"/>
      <c r="C177" s="690"/>
      <c r="D177" s="700" t="s">
        <v>252</v>
      </c>
      <c r="E177" s="818" t="s">
        <v>251</v>
      </c>
      <c r="F177" s="885"/>
      <c r="G177" s="885"/>
      <c r="H177" s="677"/>
    </row>
    <row r="178" spans="1:8" s="642" customFormat="1" ht="27" hidden="1" customHeight="1">
      <c r="A178" s="687"/>
      <c r="B178" s="691"/>
      <c r="C178" s="690"/>
      <c r="D178" s="700" t="s">
        <v>250</v>
      </c>
      <c r="E178" s="818" t="s">
        <v>249</v>
      </c>
      <c r="F178" s="885"/>
      <c r="G178" s="885"/>
      <c r="H178" s="677"/>
    </row>
    <row r="179" spans="1:8" s="642" customFormat="1" ht="27" hidden="1" customHeight="1">
      <c r="A179" s="687"/>
      <c r="B179" s="691"/>
      <c r="C179" s="690"/>
      <c r="D179" s="700" t="s">
        <v>248</v>
      </c>
      <c r="E179" s="818" t="s">
        <v>247</v>
      </c>
      <c r="F179" s="885"/>
      <c r="G179" s="885"/>
      <c r="H179" s="677"/>
    </row>
    <row r="180" spans="1:8" s="642" customFormat="1" ht="27" hidden="1" customHeight="1">
      <c r="A180" s="687"/>
      <c r="B180" s="691"/>
      <c r="C180" s="690"/>
      <c r="D180" s="700" t="s">
        <v>246</v>
      </c>
      <c r="E180" s="818" t="s">
        <v>245</v>
      </c>
      <c r="F180" s="885"/>
      <c r="G180" s="885"/>
      <c r="H180" s="677"/>
    </row>
    <row r="181" spans="1:8" s="642" customFormat="1" ht="27" hidden="1" customHeight="1">
      <c r="A181" s="687"/>
      <c r="B181" s="691"/>
      <c r="C181" s="690"/>
      <c r="D181" s="700" t="s">
        <v>244</v>
      </c>
      <c r="E181" s="818" t="s">
        <v>243</v>
      </c>
      <c r="F181" s="885"/>
      <c r="G181" s="885"/>
      <c r="H181" s="677"/>
    </row>
    <row r="182" spans="1:8" s="642" customFormat="1" ht="27" customHeight="1">
      <c r="A182" s="687"/>
      <c r="B182" s="691"/>
      <c r="C182" s="690"/>
      <c r="D182" s="700" t="s">
        <v>869</v>
      </c>
      <c r="E182" s="818" t="s">
        <v>242</v>
      </c>
      <c r="F182" s="885">
        <f>25000-F125-F172-F191-F192-F195</f>
        <v>18500</v>
      </c>
      <c r="G182" s="885">
        <f>36240-G125-G172-G191-G195</f>
        <v>22900</v>
      </c>
      <c r="H182" s="677"/>
    </row>
    <row r="183" spans="1:8" s="642" customFormat="1" ht="27" customHeight="1">
      <c r="A183" s="687"/>
      <c r="B183" s="691"/>
      <c r="C183" s="690"/>
      <c r="D183" s="700" t="s">
        <v>867</v>
      </c>
      <c r="E183" s="818" t="s">
        <v>241</v>
      </c>
      <c r="F183" s="885"/>
      <c r="G183" s="898">
        <f>25000-G192-G173-G126-G196</f>
        <v>18500</v>
      </c>
      <c r="H183" s="677"/>
    </row>
    <row r="184" spans="1:8" s="642" customFormat="1" ht="27" hidden="1" customHeight="1">
      <c r="A184" s="687"/>
      <c r="B184" s="691"/>
      <c r="C184" s="690"/>
      <c r="D184" s="700" t="s">
        <v>240</v>
      </c>
      <c r="E184" s="818" t="s">
        <v>239</v>
      </c>
      <c r="F184" s="885"/>
      <c r="G184" s="885"/>
      <c r="H184" s="677"/>
    </row>
    <row r="185" spans="1:8" s="642" customFormat="1" ht="27" hidden="1" customHeight="1">
      <c r="A185" s="687"/>
      <c r="B185" s="691"/>
      <c r="C185" s="690"/>
      <c r="D185" s="700" t="s">
        <v>238</v>
      </c>
      <c r="E185" s="818" t="s">
        <v>237</v>
      </c>
      <c r="F185" s="885"/>
      <c r="G185" s="885"/>
      <c r="H185" s="677"/>
    </row>
    <row r="186" spans="1:8" s="642" customFormat="1" ht="27" hidden="1" customHeight="1">
      <c r="A186" s="687"/>
      <c r="B186" s="691"/>
      <c r="C186" s="690"/>
      <c r="D186" s="700" t="s">
        <v>236</v>
      </c>
      <c r="E186" s="818" t="s">
        <v>235</v>
      </c>
      <c r="F186" s="885"/>
      <c r="G186" s="885"/>
      <c r="H186" s="677"/>
    </row>
    <row r="187" spans="1:8" s="642" customFormat="1" ht="27" hidden="1" customHeight="1">
      <c r="A187" s="687"/>
      <c r="B187" s="691"/>
      <c r="C187" s="690"/>
      <c r="D187" s="700" t="s">
        <v>234</v>
      </c>
      <c r="E187" s="818" t="s">
        <v>233</v>
      </c>
      <c r="F187" s="885"/>
      <c r="G187" s="885"/>
      <c r="H187" s="677"/>
    </row>
    <row r="188" spans="1:8" s="642" customFormat="1" ht="27" hidden="1" customHeight="1">
      <c r="A188" s="687"/>
      <c r="B188" s="691"/>
      <c r="C188" s="690"/>
      <c r="D188" s="700" t="s">
        <v>232</v>
      </c>
      <c r="E188" s="818" t="s">
        <v>231</v>
      </c>
      <c r="F188" s="885"/>
      <c r="G188" s="885"/>
      <c r="H188" s="677"/>
    </row>
    <row r="189" spans="1:8" s="642" customFormat="1" ht="27" hidden="1" customHeight="1">
      <c r="A189" s="687"/>
      <c r="B189" s="691"/>
      <c r="C189" s="690"/>
      <c r="D189" s="700" t="s">
        <v>230</v>
      </c>
      <c r="E189" s="818" t="s">
        <v>229</v>
      </c>
      <c r="F189" s="885"/>
      <c r="G189" s="885"/>
      <c r="H189" s="677"/>
    </row>
    <row r="190" spans="1:8" s="642" customFormat="1" ht="27" hidden="1" customHeight="1">
      <c r="A190" s="687"/>
      <c r="B190" s="691"/>
      <c r="C190" s="690"/>
      <c r="D190" s="700" t="s">
        <v>228</v>
      </c>
      <c r="E190" s="818" t="s">
        <v>227</v>
      </c>
      <c r="F190" s="885"/>
      <c r="G190" s="885"/>
      <c r="H190" s="677"/>
    </row>
    <row r="191" spans="1:8" s="642" customFormat="1" ht="27" customHeight="1">
      <c r="A191" s="687"/>
      <c r="B191" s="691"/>
      <c r="C191" s="690"/>
      <c r="D191" s="700" t="s">
        <v>870</v>
      </c>
      <c r="E191" s="818" t="s">
        <v>226</v>
      </c>
      <c r="F191" s="885">
        <v>2800</v>
      </c>
      <c r="G191" s="885">
        <v>5500</v>
      </c>
      <c r="H191" s="677"/>
    </row>
    <row r="192" spans="1:8" s="642" customFormat="1" ht="27" customHeight="1">
      <c r="A192" s="687"/>
      <c r="B192" s="691"/>
      <c r="C192" s="690"/>
      <c r="D192" s="700" t="s">
        <v>863</v>
      </c>
      <c r="E192" s="818"/>
      <c r="F192" s="885"/>
      <c r="G192" s="885">
        <v>2800</v>
      </c>
      <c r="H192" s="677"/>
    </row>
    <row r="193" spans="1:8" s="642" customFormat="1" ht="27" hidden="1" customHeight="1">
      <c r="A193" s="687"/>
      <c r="B193" s="691"/>
      <c r="C193" s="690"/>
      <c r="D193" s="700" t="s">
        <v>225</v>
      </c>
      <c r="E193" s="818" t="s">
        <v>224</v>
      </c>
      <c r="F193" s="885"/>
      <c r="G193" s="885"/>
      <c r="H193" s="677"/>
    </row>
    <row r="194" spans="1:8" s="642" customFormat="1" ht="27" hidden="1" customHeight="1">
      <c r="A194" s="687"/>
      <c r="B194" s="691"/>
      <c r="C194" s="690"/>
      <c r="D194" s="700" t="s">
        <v>223</v>
      </c>
      <c r="E194" s="818" t="s">
        <v>222</v>
      </c>
      <c r="F194" s="885"/>
      <c r="G194" s="885"/>
      <c r="H194" s="677"/>
    </row>
    <row r="195" spans="1:8" s="642" customFormat="1" ht="27" customHeight="1">
      <c r="A195" s="687"/>
      <c r="B195" s="691"/>
      <c r="C195" s="690"/>
      <c r="D195" s="700" t="s">
        <v>861</v>
      </c>
      <c r="E195" s="818" t="s">
        <v>221</v>
      </c>
      <c r="F195" s="885">
        <v>1700</v>
      </c>
      <c r="G195" s="885">
        <f>F195*2</f>
        <v>3400</v>
      </c>
      <c r="H195" s="677"/>
    </row>
    <row r="196" spans="1:8" s="642" customFormat="1" ht="27" customHeight="1">
      <c r="A196" s="687"/>
      <c r="B196" s="691"/>
      <c r="C196" s="690"/>
      <c r="D196" s="700" t="s">
        <v>862</v>
      </c>
      <c r="E196" s="818"/>
      <c r="F196" s="885"/>
      <c r="G196" s="885">
        <f>1700</f>
        <v>1700</v>
      </c>
      <c r="H196" s="677"/>
    </row>
    <row r="197" spans="1:8" s="642" customFormat="1" ht="27" hidden="1" customHeight="1">
      <c r="A197" s="687"/>
      <c r="B197" s="691"/>
      <c r="C197" s="690"/>
      <c r="D197" s="700" t="s">
        <v>220</v>
      </c>
      <c r="E197" s="818" t="s">
        <v>219</v>
      </c>
      <c r="F197" s="885"/>
      <c r="G197" s="885"/>
      <c r="H197" s="677"/>
    </row>
    <row r="198" spans="1:8" s="642" customFormat="1" ht="27" hidden="1" customHeight="1">
      <c r="A198" s="687"/>
      <c r="B198" s="691"/>
      <c r="C198" s="690"/>
      <c r="D198" s="698" t="s">
        <v>218</v>
      </c>
      <c r="E198" s="1137" t="s">
        <v>217</v>
      </c>
      <c r="F198" s="885"/>
      <c r="G198" s="885"/>
      <c r="H198" s="677"/>
    </row>
    <row r="199" spans="1:8" s="642" customFormat="1" ht="30" hidden="1">
      <c r="A199" s="687"/>
      <c r="B199" s="691"/>
      <c r="C199" s="690"/>
      <c r="D199" s="689" t="s">
        <v>216</v>
      </c>
      <c r="E199" s="1138">
        <v>62025</v>
      </c>
      <c r="F199" s="885"/>
      <c r="G199" s="885"/>
      <c r="H199" s="677" t="s">
        <v>192</v>
      </c>
    </row>
    <row r="200" spans="1:8" s="642" customFormat="1" ht="27" customHeight="1" thickBot="1">
      <c r="A200" s="687"/>
      <c r="B200" s="691"/>
      <c r="C200" s="690"/>
      <c r="D200" s="689" t="s">
        <v>215</v>
      </c>
      <c r="E200" s="1138">
        <v>62026</v>
      </c>
      <c r="F200" s="885">
        <v>26000</v>
      </c>
      <c r="G200" s="885">
        <f>F200*1.02</f>
        <v>26520</v>
      </c>
      <c r="H200" s="677" t="s">
        <v>199</v>
      </c>
    </row>
    <row r="201" spans="1:8" s="642" customFormat="1" ht="27" hidden="1" customHeight="1" thickBot="1">
      <c r="A201" s="687"/>
      <c r="B201" s="686"/>
      <c r="C201" s="685"/>
      <c r="D201" s="684" t="s">
        <v>214</v>
      </c>
      <c r="E201" s="697">
        <v>62027</v>
      </c>
      <c r="F201" s="894"/>
      <c r="G201" s="894"/>
      <c r="H201" s="682" t="s">
        <v>206</v>
      </c>
    </row>
    <row r="202" spans="1:8" s="642" customFormat="1" ht="27" hidden="1" customHeight="1">
      <c r="A202" s="687"/>
      <c r="B202" s="696"/>
      <c r="C202" s="695" t="s">
        <v>213</v>
      </c>
      <c r="D202" s="694"/>
      <c r="E202" s="693">
        <v>6203</v>
      </c>
      <c r="F202" s="889">
        <f>SUM(F203:F212)</f>
        <v>0</v>
      </c>
      <c r="G202" s="889">
        <f>SUM(G203:G212)</f>
        <v>0</v>
      </c>
      <c r="H202" s="692"/>
    </row>
    <row r="203" spans="1:8" s="642" customFormat="1" ht="27" hidden="1" customHeight="1">
      <c r="A203" s="687"/>
      <c r="B203" s="691"/>
      <c r="C203" s="690"/>
      <c r="D203" s="689" t="s">
        <v>212</v>
      </c>
      <c r="E203" s="688" t="s">
        <v>211</v>
      </c>
      <c r="F203" s="885"/>
      <c r="G203" s="885"/>
      <c r="H203" s="677" t="s">
        <v>206</v>
      </c>
    </row>
    <row r="204" spans="1:8" s="642" customFormat="1" ht="27" hidden="1" customHeight="1">
      <c r="A204" s="687"/>
      <c r="B204" s="691"/>
      <c r="C204" s="690"/>
      <c r="D204" s="689" t="s">
        <v>210</v>
      </c>
      <c r="E204" s="688" t="s">
        <v>209</v>
      </c>
      <c r="F204" s="885"/>
      <c r="G204" s="885"/>
      <c r="H204" s="677" t="s">
        <v>206</v>
      </c>
    </row>
    <row r="205" spans="1:8" s="642" customFormat="1" ht="27" hidden="1" customHeight="1">
      <c r="A205" s="687"/>
      <c r="B205" s="691"/>
      <c r="C205" s="690"/>
      <c r="D205" s="689" t="s">
        <v>208</v>
      </c>
      <c r="E205" s="688" t="s">
        <v>207</v>
      </c>
      <c r="F205" s="885"/>
      <c r="G205" s="885"/>
      <c r="H205" s="677" t="s">
        <v>206</v>
      </c>
    </row>
    <row r="206" spans="1:8" s="642" customFormat="1" ht="27" hidden="1" customHeight="1">
      <c r="A206" s="687"/>
      <c r="B206" s="691"/>
      <c r="C206" s="690"/>
      <c r="D206" s="689" t="s">
        <v>205</v>
      </c>
      <c r="E206" s="688" t="s">
        <v>204</v>
      </c>
      <c r="F206" s="885"/>
      <c r="G206" s="885"/>
      <c r="H206" s="677" t="s">
        <v>192</v>
      </c>
    </row>
    <row r="207" spans="1:8" s="642" customFormat="1" ht="27" hidden="1" customHeight="1">
      <c r="A207" s="687"/>
      <c r="B207" s="691"/>
      <c r="C207" s="690"/>
      <c r="D207" s="689" t="s">
        <v>203</v>
      </c>
      <c r="E207" s="688" t="s">
        <v>202</v>
      </c>
      <c r="F207" s="885"/>
      <c r="G207" s="885"/>
      <c r="H207" s="677" t="s">
        <v>188</v>
      </c>
    </row>
    <row r="208" spans="1:8" s="642" customFormat="1" ht="27" hidden="1" customHeight="1">
      <c r="A208" s="687"/>
      <c r="B208" s="691"/>
      <c r="C208" s="690"/>
      <c r="D208" s="689" t="s">
        <v>201</v>
      </c>
      <c r="E208" s="688" t="s">
        <v>200</v>
      </c>
      <c r="F208" s="885"/>
      <c r="G208" s="885"/>
      <c r="H208" s="677" t="s">
        <v>199</v>
      </c>
    </row>
    <row r="209" spans="1:8" s="642" customFormat="1" ht="27" hidden="1" customHeight="1">
      <c r="A209" s="687"/>
      <c r="B209" s="691"/>
      <c r="C209" s="690"/>
      <c r="D209" s="689" t="s">
        <v>198</v>
      </c>
      <c r="E209" s="688" t="s">
        <v>197</v>
      </c>
      <c r="F209" s="885"/>
      <c r="G209" s="885"/>
      <c r="H209" s="677" t="s">
        <v>192</v>
      </c>
    </row>
    <row r="210" spans="1:8" s="642" customFormat="1" ht="27" hidden="1" customHeight="1">
      <c r="A210" s="687"/>
      <c r="B210" s="691"/>
      <c r="C210" s="690"/>
      <c r="D210" s="689" t="s">
        <v>196</v>
      </c>
      <c r="E210" s="688" t="s">
        <v>195</v>
      </c>
      <c r="F210" s="885"/>
      <c r="G210" s="885"/>
      <c r="H210" s="677" t="s">
        <v>192</v>
      </c>
    </row>
    <row r="211" spans="1:8" s="642" customFormat="1" ht="27" hidden="1" customHeight="1">
      <c r="A211" s="687"/>
      <c r="B211" s="691"/>
      <c r="C211" s="690"/>
      <c r="D211" s="689" t="s">
        <v>194</v>
      </c>
      <c r="E211" s="688" t="s">
        <v>193</v>
      </c>
      <c r="F211" s="885"/>
      <c r="G211" s="885"/>
      <c r="H211" s="677" t="s">
        <v>192</v>
      </c>
    </row>
    <row r="212" spans="1:8" s="642" customFormat="1" ht="27" hidden="1" customHeight="1" thickBot="1">
      <c r="A212" s="687"/>
      <c r="B212" s="686"/>
      <c r="C212" s="685"/>
      <c r="D212" s="684" t="s">
        <v>191</v>
      </c>
      <c r="E212" s="683" t="s">
        <v>190</v>
      </c>
      <c r="F212" s="894"/>
      <c r="G212" s="894"/>
      <c r="H212" s="682" t="s">
        <v>188</v>
      </c>
    </row>
    <row r="213" spans="1:8" s="642" customFormat="1" ht="27" hidden="1" customHeight="1" thickBot="1">
      <c r="A213" s="681"/>
      <c r="B213" s="680"/>
      <c r="C213" s="658" t="s">
        <v>189</v>
      </c>
      <c r="D213" s="679"/>
      <c r="E213" s="678">
        <v>6204</v>
      </c>
      <c r="F213" s="887"/>
      <c r="G213" s="887"/>
      <c r="H213" s="677" t="s">
        <v>188</v>
      </c>
    </row>
    <row r="214" spans="1:8" s="642" customFormat="1" ht="27" customHeight="1" thickTop="1" thickBot="1">
      <c r="A214" s="675" t="s">
        <v>187</v>
      </c>
      <c r="B214" s="675"/>
      <c r="C214" s="675"/>
      <c r="D214" s="674"/>
      <c r="E214" s="669">
        <v>63</v>
      </c>
      <c r="F214" s="909"/>
      <c r="G214" s="909">
        <v>6000</v>
      </c>
      <c r="H214" s="673" t="s">
        <v>183</v>
      </c>
    </row>
    <row r="215" spans="1:8" s="642" customFormat="1" ht="27" hidden="1" customHeight="1" thickTop="1" thickBot="1">
      <c r="A215" s="676" t="s">
        <v>186</v>
      </c>
      <c r="B215" s="675"/>
      <c r="C215" s="675"/>
      <c r="D215" s="674"/>
      <c r="E215" s="669">
        <v>64</v>
      </c>
      <c r="F215" s="909"/>
      <c r="G215" s="909"/>
      <c r="H215" s="673" t="s">
        <v>183</v>
      </c>
    </row>
    <row r="216" spans="1:8" s="642" customFormat="1" ht="27" hidden="1" customHeight="1" thickTop="1" thickBot="1">
      <c r="A216" s="675" t="s">
        <v>185</v>
      </c>
      <c r="B216" s="675"/>
      <c r="C216" s="675"/>
      <c r="D216" s="674"/>
      <c r="E216" s="669">
        <v>65</v>
      </c>
      <c r="F216" s="909"/>
      <c r="G216" s="909"/>
      <c r="H216" s="673" t="s">
        <v>183</v>
      </c>
    </row>
    <row r="217" spans="1:8" s="642" customFormat="1" ht="27" hidden="1" customHeight="1" thickTop="1" thickBot="1">
      <c r="A217" s="675" t="s">
        <v>184</v>
      </c>
      <c r="B217" s="675"/>
      <c r="C217" s="675"/>
      <c r="D217" s="674"/>
      <c r="E217" s="669">
        <v>66</v>
      </c>
      <c r="F217" s="909"/>
      <c r="G217" s="909"/>
      <c r="H217" s="673" t="s">
        <v>183</v>
      </c>
    </row>
    <row r="218" spans="1:8" s="642" customFormat="1" ht="27" customHeight="1" thickTop="1" thickBot="1">
      <c r="A218" s="672" t="s">
        <v>182</v>
      </c>
      <c r="B218" s="671"/>
      <c r="C218" s="671"/>
      <c r="D218" s="670"/>
      <c r="E218" s="669" t="s">
        <v>181</v>
      </c>
      <c r="F218" s="910">
        <f>SUM(F217+F216+F215+F214+F154+F14+F8)</f>
        <v>238750</v>
      </c>
      <c r="G218" s="910">
        <f>SUM(G217+G216+G215+G214+G154+G14+G8)</f>
        <v>308750</v>
      </c>
      <c r="H218" s="668"/>
    </row>
    <row r="219" spans="1:8" s="642" customFormat="1" ht="27" customHeight="1" thickTop="1" thickBot="1">
      <c r="A219" s="667"/>
      <c r="B219" s="666"/>
      <c r="C219" s="666"/>
      <c r="D219" s="665"/>
      <c r="E219" s="664"/>
      <c r="F219" s="911"/>
      <c r="G219" s="912"/>
      <c r="H219" s="656"/>
    </row>
    <row r="220" spans="1:8" s="642" customFormat="1" ht="27" customHeight="1" thickTop="1" thickBot="1">
      <c r="A220" s="1186" t="s">
        <v>180</v>
      </c>
      <c r="B220" s="1187"/>
      <c r="C220" s="1187"/>
      <c r="D220" s="1187"/>
      <c r="E220" s="1187"/>
      <c r="F220" s="1187"/>
      <c r="G220" s="1187"/>
      <c r="H220" s="1188"/>
    </row>
    <row r="221" spans="1:8" s="642" customFormat="1" ht="45" customHeight="1" thickTop="1" thickBot="1">
      <c r="A221" s="663"/>
      <c r="B221" s="656"/>
      <c r="C221" s="656"/>
      <c r="D221" s="656"/>
      <c r="E221" s="652">
        <f>F5</f>
        <v>2024</v>
      </c>
      <c r="F221" s="913" t="s">
        <v>174</v>
      </c>
      <c r="G221" s="1094">
        <f>G5</f>
        <v>2025</v>
      </c>
      <c r="H221" s="662" t="s">
        <v>174</v>
      </c>
    </row>
    <row r="222" spans="1:8" s="642" customFormat="1" ht="25.2" customHeight="1" thickTop="1" thickBot="1">
      <c r="A222" s="645"/>
      <c r="B222" s="644"/>
      <c r="C222" s="643"/>
      <c r="D222" s="646" t="s">
        <v>179</v>
      </c>
      <c r="E222" s="661">
        <f>SUMIF(H7:H217,"I",F7:F217)</f>
        <v>2820</v>
      </c>
      <c r="F222" s="1095">
        <f>E222/$F$218</f>
        <v>1.1811518324607331E-2</v>
      </c>
      <c r="G222" s="914">
        <f>SUMIF(H7:H217,"I",G7:G217)</f>
        <v>2820</v>
      </c>
      <c r="H222" s="640">
        <f>G222/$G$218</f>
        <v>9.133603238866396E-3</v>
      </c>
    </row>
    <row r="223" spans="1:8" s="642" customFormat="1" ht="25.2" customHeight="1" thickTop="1" thickBot="1">
      <c r="A223" s="645"/>
      <c r="B223" s="644"/>
      <c r="C223" s="643"/>
      <c r="D223" s="635" t="s">
        <v>178</v>
      </c>
      <c r="E223" s="661">
        <f>SUMIF(H7:H217,"ACT",F7:F217)</f>
        <v>27230</v>
      </c>
      <c r="F223" s="1095">
        <f>E223/$F$218</f>
        <v>0.11405235602094241</v>
      </c>
      <c r="G223" s="914">
        <f>SUMIF(H7:H217,"ACT",G7:G217)</f>
        <v>45270</v>
      </c>
      <c r="H223" s="640">
        <f>G223/$G$218</f>
        <v>0.14662348178137652</v>
      </c>
    </row>
    <row r="224" spans="1:8" s="642" customFormat="1" ht="25.2" customHeight="1" thickTop="1" thickBot="1">
      <c r="A224" s="645"/>
      <c r="B224" s="644"/>
      <c r="C224" s="643"/>
      <c r="D224" s="635" t="s">
        <v>177</v>
      </c>
      <c r="E224" s="661">
        <f>SUMIF(H7:H217,"F",F7:F217)</f>
        <v>4000</v>
      </c>
      <c r="F224" s="1095">
        <f>E224/$F$218</f>
        <v>1.6753926701570682E-2</v>
      </c>
      <c r="G224" s="914">
        <f>SUMIF(H7:H217,"F",G7:G217)</f>
        <v>10000</v>
      </c>
      <c r="H224" s="640">
        <f>G224/$G$218</f>
        <v>3.2388663967611336E-2</v>
      </c>
    </row>
    <row r="225" spans="1:13" s="642" customFormat="1" ht="27" customHeight="1" thickTop="1" thickBot="1">
      <c r="A225" s="660"/>
      <c r="B225" s="659"/>
      <c r="C225" s="658"/>
      <c r="D225" s="657" t="s">
        <v>176</v>
      </c>
      <c r="E225" s="638">
        <f>SUM(E222+E223+E224)</f>
        <v>34050</v>
      </c>
      <c r="F225" s="1096">
        <f>E225/$F$218</f>
        <v>0.14261780104712041</v>
      </c>
      <c r="G225" s="915">
        <f>SUM(G222+G223+G224)</f>
        <v>58090</v>
      </c>
      <c r="H225" s="637">
        <f>G225/$G$218</f>
        <v>0.18814574898785424</v>
      </c>
    </row>
    <row r="226" spans="1:13" s="642" customFormat="1" ht="27" customHeight="1" thickTop="1" thickBot="1">
      <c r="A226" s="1184"/>
      <c r="B226" s="1185"/>
      <c r="C226" s="1185"/>
      <c r="D226" s="1185"/>
      <c r="E226" s="1185"/>
      <c r="F226" s="1185"/>
      <c r="G226" s="1185"/>
      <c r="H226" s="656"/>
    </row>
    <row r="227" spans="1:13" s="642" customFormat="1" ht="45" customHeight="1" thickTop="1" thickBot="1">
      <c r="A227" s="655"/>
      <c r="B227" s="654"/>
      <c r="C227" s="654"/>
      <c r="D227" s="653" t="s">
        <v>175</v>
      </c>
      <c r="E227" s="652">
        <f>F5</f>
        <v>2024</v>
      </c>
      <c r="F227" s="916" t="s">
        <v>174</v>
      </c>
      <c r="G227" s="1094">
        <f>G5</f>
        <v>2025</v>
      </c>
      <c r="H227" s="651" t="s">
        <v>174</v>
      </c>
    </row>
    <row r="228" spans="1:13" s="642" customFormat="1" ht="25.2" customHeight="1" thickTop="1" thickBot="1">
      <c r="A228" s="648"/>
      <c r="D228" s="650" t="s">
        <v>173</v>
      </c>
      <c r="E228" s="641">
        <f>SUMIF(H7:H217,"MSF",F7:F217)</f>
        <v>26000</v>
      </c>
      <c r="F228" s="1097">
        <f t="shared" ref="F228:F236" si="2">E228/$F$218</f>
        <v>0.10890052356020942</v>
      </c>
      <c r="G228" s="917">
        <f>SUMIF(H7:H217,"MSF",G7:G217)</f>
        <v>26520</v>
      </c>
      <c r="H228" s="640">
        <f>G228/$G$218</f>
        <v>8.589473684210526E-2</v>
      </c>
    </row>
    <row r="229" spans="1:13" s="642" customFormat="1" ht="25.2" customHeight="1" thickTop="1" thickBot="1">
      <c r="A229" s="648"/>
      <c r="D229" s="649" t="s">
        <v>172</v>
      </c>
      <c r="E229" s="641">
        <f>SUMIF(H7:H217,"MSRP",F7:F217)</f>
        <v>23000</v>
      </c>
      <c r="F229" s="1097">
        <f t="shared" si="2"/>
        <v>9.6335078534031407E-2</v>
      </c>
      <c r="G229" s="917">
        <f>SUMIF(H7:H217,"MSRP",G7:G217)</f>
        <v>23460</v>
      </c>
      <c r="H229" s="640">
        <f>G229/$G$218</f>
        <v>7.5983805668016199E-2</v>
      </c>
      <c r="M229" s="1100">
        <v>5.6</v>
      </c>
    </row>
    <row r="230" spans="1:13" s="642" customFormat="1" ht="25.2" customHeight="1" thickTop="1" thickBot="1">
      <c r="A230" s="648"/>
      <c r="D230" s="649" t="s">
        <v>171</v>
      </c>
      <c r="E230" s="641">
        <f>SUMIF(H7:H217,"MSACT",F7:F217)</f>
        <v>26000</v>
      </c>
      <c r="F230" s="1097">
        <f t="shared" si="2"/>
        <v>0.10890052356020942</v>
      </c>
      <c r="G230" s="917">
        <f>SUMIF(H7:H217,"MSACT",G7:G217)</f>
        <v>26520</v>
      </c>
      <c r="H230" s="640">
        <f>G230/$G$218</f>
        <v>8.589473684210526E-2</v>
      </c>
    </row>
    <row r="231" spans="1:13" s="642" customFormat="1" ht="25.2" customHeight="1" thickTop="1" thickBot="1">
      <c r="A231" s="648"/>
      <c r="D231" s="635" t="s">
        <v>170</v>
      </c>
      <c r="E231" s="641">
        <f>SUMIF(H7:H217,"MSDIV",F7:F217)</f>
        <v>0</v>
      </c>
      <c r="F231" s="1097">
        <f t="shared" si="2"/>
        <v>0</v>
      </c>
      <c r="G231" s="917">
        <f>SUMIF(H7:H217,"MSDIV",G7:G217)</f>
        <v>0</v>
      </c>
      <c r="H231" s="640">
        <f>G231/$G$218</f>
        <v>0</v>
      </c>
    </row>
    <row r="232" spans="1:13" s="642" customFormat="1" ht="27" customHeight="1" thickTop="1" thickBot="1">
      <c r="A232" s="648"/>
      <c r="D232" s="647" t="s">
        <v>169</v>
      </c>
      <c r="E232" s="638">
        <f>SUM(E228+E229+E230+E231)</f>
        <v>75000</v>
      </c>
      <c r="F232" s="1096">
        <f t="shared" si="2"/>
        <v>0.31413612565445026</v>
      </c>
      <c r="G232" s="915">
        <f>SUM(G228+G229+G230+G231)</f>
        <v>76500</v>
      </c>
      <c r="H232" s="637">
        <f>G232/$G$218</f>
        <v>0.24777327935222673</v>
      </c>
    </row>
    <row r="233" spans="1:13" s="642" customFormat="1" ht="25.2" customHeight="1" thickTop="1" thickBot="1">
      <c r="A233" s="645"/>
      <c r="B233" s="644"/>
      <c r="C233" s="643"/>
      <c r="D233" s="646" t="s">
        <v>168</v>
      </c>
      <c r="E233" s="641">
        <f>SUMIF(H7:H217,"MSA",F7:F217)</f>
        <v>103700</v>
      </c>
      <c r="F233" s="1097">
        <f t="shared" si="2"/>
        <v>0.43434554973821987</v>
      </c>
      <c r="G233" s="917">
        <f>SUMIF(H7:H217,"MSA",G7:G217)</f>
        <v>147640</v>
      </c>
      <c r="H233" s="640">
        <f>G233/G$218</f>
        <v>0.47818623481781375</v>
      </c>
    </row>
    <row r="234" spans="1:13" s="642" customFormat="1" ht="25.2" customHeight="1" thickTop="1" thickBot="1">
      <c r="A234" s="645"/>
      <c r="B234" s="644"/>
      <c r="C234" s="643"/>
      <c r="D234" s="635" t="s">
        <v>167</v>
      </c>
      <c r="E234" s="641">
        <f>SUMIF(H7:H217,"MSAT",F7:F217)</f>
        <v>26000</v>
      </c>
      <c r="F234" s="1097">
        <f t="shared" si="2"/>
        <v>0.10890052356020942</v>
      </c>
      <c r="G234" s="917">
        <f>SUMIF(H7:H217,"MSAT",G7:G217)</f>
        <v>26520</v>
      </c>
      <c r="H234" s="640">
        <f>G234/G$218</f>
        <v>8.589473684210526E-2</v>
      </c>
    </row>
    <row r="235" spans="1:13" ht="25.2" customHeight="1" thickTop="1" thickBot="1">
      <c r="A235" s="636"/>
      <c r="D235" s="635" t="s">
        <v>166</v>
      </c>
      <c r="E235" s="641">
        <f>SUMIF(H7:H217,"MSAA",F7:F217)</f>
        <v>0</v>
      </c>
      <c r="F235" s="1097">
        <f t="shared" si="2"/>
        <v>0</v>
      </c>
      <c r="G235" s="917">
        <f>SUMIF(H7:H217,"MSAA",G7:G217)</f>
        <v>0</v>
      </c>
      <c r="H235" s="640">
        <f>G235/G$218</f>
        <v>0</v>
      </c>
    </row>
    <row r="236" spans="1:13" ht="27" customHeight="1" thickTop="1" thickBot="1">
      <c r="A236" s="636"/>
      <c r="D236" s="639" t="s">
        <v>165</v>
      </c>
      <c r="E236" s="638">
        <f>SUM(E233+E234+E235)</f>
        <v>129700</v>
      </c>
      <c r="F236" s="1096">
        <f t="shared" si="2"/>
        <v>0.54324607329842933</v>
      </c>
      <c r="G236" s="915">
        <f>SUM(G233+G234+G235)</f>
        <v>174160</v>
      </c>
      <c r="H236" s="637">
        <f>G236/G$218</f>
        <v>0.56408097165991899</v>
      </c>
    </row>
    <row r="237" spans="1:13" ht="10.199999999999999" customHeight="1" thickTop="1" thickBot="1">
      <c r="A237" s="636"/>
      <c r="D237" s="635"/>
      <c r="E237" s="634"/>
      <c r="F237" s="1098"/>
      <c r="G237" s="918"/>
      <c r="H237" s="633"/>
    </row>
    <row r="238" spans="1:13" ht="27" customHeight="1" thickBot="1">
      <c r="A238" s="632"/>
      <c r="B238" s="631"/>
      <c r="C238" s="631"/>
      <c r="D238" s="630" t="s">
        <v>164</v>
      </c>
      <c r="E238" s="629">
        <f>SUM(E232+E236)</f>
        <v>204700</v>
      </c>
      <c r="F238" s="1099">
        <f>SUM(F232+F236)</f>
        <v>0.85738219895287959</v>
      </c>
      <c r="G238" s="919">
        <f>SUM(G232+G236)</f>
        <v>250660</v>
      </c>
      <c r="H238" s="628">
        <f>SUM(H232+H236)</f>
        <v>0.8118542510121457</v>
      </c>
    </row>
    <row r="239" spans="1:13" ht="20.100000000000001" customHeight="1" thickTop="1">
      <c r="D239" s="627"/>
    </row>
    <row r="240" spans="1:13">
      <c r="D240" s="626"/>
    </row>
    <row r="241" spans="4:8" ht="15.6" customHeight="1">
      <c r="D241" s="625"/>
    </row>
    <row r="242" spans="4:8" ht="20.100000000000001" customHeight="1">
      <c r="E242" s="1189" t="s">
        <v>832</v>
      </c>
      <c r="F242" s="1189"/>
      <c r="G242" s="1189"/>
      <c r="H242" s="1189"/>
    </row>
    <row r="243" spans="4:8" ht="20.100000000000001" customHeight="1">
      <c r="E243" s="937"/>
      <c r="F243" s="1034"/>
      <c r="G243" s="1119">
        <v>2024</v>
      </c>
      <c r="H243" s="1119">
        <v>2025</v>
      </c>
    </row>
    <row r="244" spans="4:8" ht="20.100000000000001" customHeight="1">
      <c r="E244" s="1064" t="s">
        <v>821</v>
      </c>
      <c r="F244" s="1065"/>
      <c r="G244" s="1066">
        <f>E222</f>
        <v>2820</v>
      </c>
      <c r="H244" s="1066">
        <f>G222</f>
        <v>2820</v>
      </c>
    </row>
    <row r="245" spans="4:8" ht="20.100000000000001" customHeight="1">
      <c r="E245" s="1064" t="s">
        <v>822</v>
      </c>
      <c r="F245" s="1065"/>
      <c r="G245" s="1066">
        <f>E223</f>
        <v>27230</v>
      </c>
      <c r="H245" s="1066">
        <f>G223</f>
        <v>45270</v>
      </c>
    </row>
    <row r="246" spans="4:8" ht="20.100000000000001" customHeight="1">
      <c r="E246" s="1064" t="s">
        <v>839</v>
      </c>
      <c r="F246" s="1065"/>
      <c r="G246" s="1066">
        <f>E224</f>
        <v>4000</v>
      </c>
      <c r="H246" s="1066">
        <f>G224</f>
        <v>10000</v>
      </c>
    </row>
    <row r="247" spans="4:8" ht="15">
      <c r="E247" s="1070" t="s">
        <v>825</v>
      </c>
      <c r="F247" s="1071"/>
      <c r="G247" s="1072">
        <f>E228</f>
        <v>26000</v>
      </c>
      <c r="H247" s="1072">
        <f>G228</f>
        <v>26520</v>
      </c>
    </row>
    <row r="248" spans="4:8" ht="15">
      <c r="E248" s="1070" t="s">
        <v>823</v>
      </c>
      <c r="F248" s="1071"/>
      <c r="G248" s="1072">
        <f>E229</f>
        <v>23000</v>
      </c>
      <c r="H248" s="1072">
        <f>G229</f>
        <v>23460</v>
      </c>
    </row>
    <row r="249" spans="4:8" ht="15">
      <c r="E249" s="1070" t="s">
        <v>824</v>
      </c>
      <c r="F249" s="1071"/>
      <c r="G249" s="1072">
        <f>E230</f>
        <v>26000</v>
      </c>
      <c r="H249" s="1072">
        <f>G230</f>
        <v>26520</v>
      </c>
    </row>
    <row r="250" spans="4:8" ht="15">
      <c r="E250" s="1067" t="s">
        <v>826</v>
      </c>
      <c r="F250" s="1068"/>
      <c r="G250" s="1069">
        <f>E233</f>
        <v>103700</v>
      </c>
      <c r="H250" s="1069">
        <f>G233</f>
        <v>147640</v>
      </c>
    </row>
    <row r="251" spans="4:8" ht="15">
      <c r="E251" s="1067" t="s">
        <v>827</v>
      </c>
      <c r="F251" s="1068"/>
      <c r="G251" s="1069">
        <f>E234</f>
        <v>26000</v>
      </c>
      <c r="H251" s="1069">
        <f>G234</f>
        <v>26520</v>
      </c>
    </row>
    <row r="252" spans="4:8" ht="15">
      <c r="E252" s="642"/>
      <c r="F252" s="758" t="s">
        <v>828</v>
      </c>
      <c r="G252" s="1086">
        <f>SUM(G244:G251)-F218</f>
        <v>0</v>
      </c>
      <c r="H252" s="1086">
        <f>SUM(H244:H251)-G218</f>
        <v>0</v>
      </c>
    </row>
    <row r="254" spans="4:8">
      <c r="D254" s="624"/>
    </row>
  </sheetData>
  <mergeCells count="4">
    <mergeCell ref="A1:G1"/>
    <mergeCell ref="A226:G226"/>
    <mergeCell ref="A220:H220"/>
    <mergeCell ref="E242:H242"/>
  </mergeCells>
  <dataValidations count="2">
    <dataValidation type="list" allowBlank="1" showInputMessage="1" showErrorMessage="1" sqref="G5" xr:uid="{00000000-0002-0000-0100-000001000000}">
      <formula1>"2025,2024-2025,Exercice 2"</formula1>
    </dataValidation>
    <dataValidation type="list" allowBlank="1" showInputMessage="1" showErrorMessage="1" sqref="F5" xr:uid="{00000000-0002-0000-0100-000000000000}">
      <formula1>"2024,2023-2024,Exercice 1"</formula1>
    </dataValidation>
  </dataValidations>
  <pageMargins left="0.59055118110236227" right="0.59055118110236227" top="1.0629921259842521" bottom="0.98425196850393704" header="0.51181102362204722" footer="0.51181102362204722"/>
  <pageSetup paperSize="9" scale="52" fitToHeight="0" orientation="portrait" r:id="rId1"/>
  <headerFooter alignWithMargins="0">
    <oddHeader>&amp;CCFWB - ASBL - BUDGET  PREVISIONNEL (Contrat-programme)</oddHeader>
    <oddFooter>&amp;R&amp;P / 12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10F8F-023C-476D-9E28-366FBD3236CA}">
  <dimension ref="A1:H189"/>
  <sheetViews>
    <sheetView topLeftCell="A190" workbookViewId="0">
      <selection activeCell="J184" sqref="J184"/>
    </sheetView>
    <sheetView tabSelected="1" topLeftCell="A181" workbookViewId="1">
      <selection activeCell="I203" sqref="I203"/>
    </sheetView>
  </sheetViews>
  <sheetFormatPr baseColWidth="10" defaultColWidth="10.88671875" defaultRowHeight="13.2"/>
  <cols>
    <col min="1" max="3" width="3.6640625" style="642" customWidth="1"/>
    <col min="4" max="4" width="69.5546875" style="642" customWidth="1"/>
    <col min="5" max="5" width="13.6640625" style="642" customWidth="1"/>
    <col min="6" max="7" width="18.77734375" style="642" bestFit="1" customWidth="1"/>
    <col min="8" max="8" width="18.33203125" style="642" customWidth="1"/>
    <col min="9" max="16384" width="10.88671875" style="642"/>
  </cols>
  <sheetData>
    <row r="1" spans="1:8" ht="36" customHeight="1">
      <c r="A1" s="1182" t="s">
        <v>841</v>
      </c>
      <c r="B1" s="1183"/>
      <c r="C1" s="1183"/>
      <c r="D1" s="1183"/>
      <c r="E1" s="1183"/>
      <c r="F1" s="1183"/>
      <c r="G1" s="1183"/>
      <c r="H1" s="772"/>
    </row>
    <row r="2" spans="1:8" ht="6.45" customHeight="1">
      <c r="A2" s="797"/>
      <c r="B2" s="643"/>
      <c r="C2" s="643"/>
      <c r="D2" s="800"/>
      <c r="E2" s="796"/>
      <c r="F2" s="795"/>
      <c r="G2" s="795"/>
      <c r="H2" s="772"/>
    </row>
    <row r="3" spans="1:8" ht="21">
      <c r="A3" s="797"/>
      <c r="B3" s="643"/>
      <c r="C3" s="643"/>
      <c r="D3" s="799" t="s">
        <v>838</v>
      </c>
      <c r="E3" s="798"/>
      <c r="F3" s="796"/>
      <c r="G3" s="796"/>
      <c r="H3" s="772"/>
    </row>
    <row r="4" spans="1:8" ht="19.95" customHeight="1" thickBot="1">
      <c r="A4" s="797"/>
      <c r="B4" s="643"/>
      <c r="C4" s="643"/>
      <c r="D4" s="656"/>
      <c r="E4" s="796"/>
      <c r="F4" s="795"/>
      <c r="G4" s="795"/>
      <c r="H4" s="772"/>
    </row>
    <row r="5" spans="1:8" ht="19.95" customHeight="1" thickTop="1">
      <c r="A5" s="794"/>
      <c r="B5" s="666"/>
      <c r="C5" s="666"/>
      <c r="D5" s="803"/>
      <c r="E5" s="804"/>
      <c r="F5" s="790">
        <v>2024</v>
      </c>
      <c r="G5" s="790">
        <v>2025</v>
      </c>
      <c r="H5" s="772"/>
    </row>
    <row r="6" spans="1:8" ht="40.5" customHeight="1" thickBot="1">
      <c r="A6" s="805" t="s">
        <v>483</v>
      </c>
      <c r="B6" s="643"/>
      <c r="C6" s="643"/>
      <c r="D6" s="749"/>
      <c r="E6" s="806" t="s">
        <v>475</v>
      </c>
      <c r="F6" s="807" t="s">
        <v>474</v>
      </c>
      <c r="G6" s="807" t="s">
        <v>474</v>
      </c>
    </row>
    <row r="7" spans="1:8" ht="40.200000000000003" customHeight="1" thickTop="1" thickBot="1">
      <c r="A7" s="785" t="s">
        <v>484</v>
      </c>
      <c r="B7" s="808"/>
      <c r="C7" s="808"/>
      <c r="D7" s="809"/>
      <c r="E7" s="782" t="s">
        <v>485</v>
      </c>
      <c r="F7" s="1159">
        <f>SUM(F8+F75+F76+F77+F148)</f>
        <v>257050</v>
      </c>
      <c r="G7" s="1159">
        <f>SUM(G8+G75+G76+G77+G148)</f>
        <v>290450</v>
      </c>
    </row>
    <row r="8" spans="1:8" ht="27" customHeight="1" thickTop="1" thickBot="1">
      <c r="A8" s="724" t="s">
        <v>486</v>
      </c>
      <c r="B8" s="803"/>
      <c r="C8" s="666"/>
      <c r="D8" s="665"/>
      <c r="E8" s="723">
        <v>70</v>
      </c>
      <c r="F8" s="888">
        <f>SUM(F9+F15+F29+F40+F49+F68+F73+F74)</f>
        <v>110700</v>
      </c>
      <c r="G8" s="888">
        <f>SUM(G9+G15+G29+G40+G49+G68+G73+G74)</f>
        <v>144100</v>
      </c>
    </row>
    <row r="9" spans="1:8" ht="27" hidden="1" customHeight="1">
      <c r="A9" s="687"/>
      <c r="B9" s="696" t="s">
        <v>487</v>
      </c>
      <c r="C9" s="810"/>
      <c r="D9" s="811"/>
      <c r="E9" s="812">
        <v>700</v>
      </c>
      <c r="F9" s="1160">
        <f>SUM(F10:F14)</f>
        <v>0</v>
      </c>
      <c r="G9" s="1160">
        <f>SUM(G10:G14)</f>
        <v>0</v>
      </c>
    </row>
    <row r="10" spans="1:8" ht="27" hidden="1" customHeight="1">
      <c r="A10" s="687"/>
      <c r="B10" s="691"/>
      <c r="C10" s="643" t="s">
        <v>488</v>
      </c>
      <c r="D10" s="643"/>
      <c r="E10" s="759">
        <v>7000</v>
      </c>
      <c r="F10" s="885"/>
      <c r="G10" s="885"/>
    </row>
    <row r="11" spans="1:8" ht="27" hidden="1" customHeight="1">
      <c r="A11" s="687"/>
      <c r="B11" s="691"/>
      <c r="C11" s="643" t="s">
        <v>489</v>
      </c>
      <c r="D11" s="643"/>
      <c r="E11" s="759">
        <v>7001</v>
      </c>
      <c r="F11" s="885"/>
      <c r="G11" s="885"/>
    </row>
    <row r="12" spans="1:8" ht="27" hidden="1" customHeight="1">
      <c r="A12" s="687"/>
      <c r="B12" s="691"/>
      <c r="C12" s="643" t="s">
        <v>490</v>
      </c>
      <c r="D12" s="643"/>
      <c r="E12" s="759">
        <v>7002</v>
      </c>
      <c r="F12" s="885"/>
      <c r="G12" s="885"/>
    </row>
    <row r="13" spans="1:8" ht="27" hidden="1" customHeight="1">
      <c r="A13" s="687"/>
      <c r="B13" s="691"/>
      <c r="C13" s="643" t="s">
        <v>491</v>
      </c>
      <c r="D13" s="643"/>
      <c r="E13" s="759">
        <v>7008</v>
      </c>
      <c r="F13" s="885"/>
      <c r="G13" s="885"/>
    </row>
    <row r="14" spans="1:8" ht="27" hidden="1" customHeight="1" thickBot="1">
      <c r="A14" s="687"/>
      <c r="B14" s="686"/>
      <c r="C14" s="813" t="s">
        <v>492</v>
      </c>
      <c r="D14" s="813"/>
      <c r="E14" s="814">
        <v>7009</v>
      </c>
      <c r="F14" s="1161"/>
      <c r="G14" s="1161"/>
    </row>
    <row r="15" spans="1:8" ht="27" customHeight="1" thickBot="1">
      <c r="A15" s="687"/>
      <c r="B15" s="696" t="s">
        <v>493</v>
      </c>
      <c r="C15" s="810"/>
      <c r="D15" s="811"/>
      <c r="E15" s="812">
        <v>701</v>
      </c>
      <c r="F15" s="1160">
        <f>SUM(F16+F21+F23+F24+F25+F26+F27+F28)</f>
        <v>99700</v>
      </c>
      <c r="G15" s="1160">
        <f>SUM(G16+G21+G23+G24+G25+G26+G27+G28)</f>
        <v>113100</v>
      </c>
    </row>
    <row r="16" spans="1:8" ht="27" customHeight="1">
      <c r="A16" s="687"/>
      <c r="B16" s="691"/>
      <c r="C16" s="695" t="s">
        <v>494</v>
      </c>
      <c r="D16" s="815"/>
      <c r="E16" s="693">
        <v>7010</v>
      </c>
      <c r="F16" s="889">
        <f>SUM(F17:F20)</f>
        <v>99700</v>
      </c>
      <c r="G16" s="889">
        <f>SUM(G17:G20)</f>
        <v>113100</v>
      </c>
    </row>
    <row r="17" spans="1:7" ht="27" customHeight="1">
      <c r="A17" s="687"/>
      <c r="B17" s="691"/>
      <c r="C17" s="690"/>
      <c r="D17" s="749" t="s">
        <v>495</v>
      </c>
      <c r="E17" s="730" t="s">
        <v>496</v>
      </c>
      <c r="F17" s="885">
        <v>73000</v>
      </c>
      <c r="G17" s="885">
        <v>85000</v>
      </c>
    </row>
    <row r="18" spans="1:7" ht="27" customHeight="1" thickBot="1">
      <c r="A18" s="687"/>
      <c r="B18" s="691"/>
      <c r="C18" s="690"/>
      <c r="D18" s="749" t="s">
        <v>497</v>
      </c>
      <c r="E18" s="730" t="s">
        <v>498</v>
      </c>
      <c r="F18" s="885">
        <v>26700</v>
      </c>
      <c r="G18" s="885">
        <v>28100</v>
      </c>
    </row>
    <row r="19" spans="1:7" ht="27" hidden="1" customHeight="1">
      <c r="A19" s="687"/>
      <c r="B19" s="691"/>
      <c r="C19" s="690"/>
      <c r="D19" s="749" t="s">
        <v>499</v>
      </c>
      <c r="E19" s="730" t="s">
        <v>500</v>
      </c>
      <c r="F19" s="885"/>
      <c r="G19" s="885"/>
    </row>
    <row r="20" spans="1:7" ht="27" hidden="1" customHeight="1" thickBot="1">
      <c r="A20" s="687"/>
      <c r="B20" s="691"/>
      <c r="C20" s="685"/>
      <c r="D20" s="646" t="s">
        <v>501</v>
      </c>
      <c r="E20" s="748" t="s">
        <v>502</v>
      </c>
      <c r="F20" s="894"/>
      <c r="G20" s="894"/>
    </row>
    <row r="21" spans="1:7" ht="27" hidden="1" customHeight="1">
      <c r="A21" s="687"/>
      <c r="B21" s="691"/>
      <c r="C21" s="643" t="s">
        <v>503</v>
      </c>
      <c r="D21" s="643"/>
      <c r="E21" s="759">
        <v>7011</v>
      </c>
      <c r="F21" s="885"/>
      <c r="G21" s="885"/>
    </row>
    <row r="22" spans="1:7" ht="27" hidden="1" customHeight="1">
      <c r="A22" s="687"/>
      <c r="B22" s="691"/>
      <c r="C22" s="643" t="s">
        <v>504</v>
      </c>
      <c r="D22" s="643"/>
      <c r="E22" s="759"/>
      <c r="F22" s="885"/>
      <c r="G22" s="885"/>
    </row>
    <row r="23" spans="1:7" ht="27" hidden="1" customHeight="1">
      <c r="A23" s="687"/>
      <c r="B23" s="691"/>
      <c r="C23" s="643" t="s">
        <v>505</v>
      </c>
      <c r="D23" s="643"/>
      <c r="E23" s="759">
        <v>7012</v>
      </c>
      <c r="F23" s="885"/>
      <c r="G23" s="885"/>
    </row>
    <row r="24" spans="1:7" ht="27" hidden="1" customHeight="1">
      <c r="A24" s="687"/>
      <c r="B24" s="691"/>
      <c r="C24" s="643" t="s">
        <v>506</v>
      </c>
      <c r="D24" s="643"/>
      <c r="E24" s="759">
        <v>7013</v>
      </c>
      <c r="F24" s="885"/>
      <c r="G24" s="885"/>
    </row>
    <row r="25" spans="1:7" ht="27" hidden="1" customHeight="1">
      <c r="A25" s="687"/>
      <c r="B25" s="691"/>
      <c r="C25" s="643" t="s">
        <v>507</v>
      </c>
      <c r="D25" s="643"/>
      <c r="E25" s="759">
        <v>7014</v>
      </c>
      <c r="F25" s="885"/>
      <c r="G25" s="885"/>
    </row>
    <row r="26" spans="1:7" ht="27" hidden="1" customHeight="1">
      <c r="A26" s="687"/>
      <c r="B26" s="691"/>
      <c r="C26" s="643" t="s">
        <v>508</v>
      </c>
      <c r="D26" s="643"/>
      <c r="E26" s="759">
        <v>7015</v>
      </c>
      <c r="F26" s="885"/>
      <c r="G26" s="885"/>
    </row>
    <row r="27" spans="1:7" ht="27" hidden="1" customHeight="1">
      <c r="A27" s="687"/>
      <c r="B27" s="691"/>
      <c r="C27" s="643" t="s">
        <v>509</v>
      </c>
      <c r="D27" s="643"/>
      <c r="E27" s="759">
        <v>7016</v>
      </c>
      <c r="F27" s="885"/>
      <c r="G27" s="885"/>
    </row>
    <row r="28" spans="1:7" ht="27" hidden="1" customHeight="1" thickBot="1">
      <c r="A28" s="687"/>
      <c r="B28" s="686"/>
      <c r="C28" s="813" t="s">
        <v>510</v>
      </c>
      <c r="D28" s="813"/>
      <c r="E28" s="814">
        <v>7019</v>
      </c>
      <c r="F28" s="1161"/>
      <c r="G28" s="1161"/>
    </row>
    <row r="29" spans="1:7" ht="27" hidden="1" customHeight="1">
      <c r="A29" s="687"/>
      <c r="B29" s="696" t="s">
        <v>511</v>
      </c>
      <c r="C29" s="810"/>
      <c r="D29" s="811"/>
      <c r="E29" s="812">
        <v>702</v>
      </c>
      <c r="F29" s="1160">
        <f>SUM(F30+F31+F32+F33+F34+F35+F36+F38+F39)</f>
        <v>0</v>
      </c>
      <c r="G29" s="1160">
        <f>SUM(G30+G31+G32+G33+G34+G35+G36+G38+G39)</f>
        <v>0</v>
      </c>
    </row>
    <row r="30" spans="1:7" ht="27" hidden="1" customHeight="1">
      <c r="A30" s="687"/>
      <c r="B30" s="691"/>
      <c r="C30" s="1210" t="s">
        <v>512</v>
      </c>
      <c r="D30" s="1210"/>
      <c r="E30" s="759">
        <v>7020</v>
      </c>
      <c r="F30" s="885"/>
      <c r="G30" s="885"/>
    </row>
    <row r="31" spans="1:7" ht="27" hidden="1" customHeight="1">
      <c r="A31" s="687"/>
      <c r="B31" s="691"/>
      <c r="C31" s="1210" t="s">
        <v>513</v>
      </c>
      <c r="D31" s="1210"/>
      <c r="E31" s="759">
        <v>7021</v>
      </c>
      <c r="F31" s="885"/>
      <c r="G31" s="885"/>
    </row>
    <row r="32" spans="1:7" ht="27" hidden="1" customHeight="1">
      <c r="A32" s="687"/>
      <c r="B32" s="691"/>
      <c r="C32" s="1210" t="s">
        <v>514</v>
      </c>
      <c r="D32" s="1210"/>
      <c r="E32" s="759">
        <v>7022</v>
      </c>
      <c r="F32" s="885"/>
      <c r="G32" s="885"/>
    </row>
    <row r="33" spans="1:7" ht="27" hidden="1" customHeight="1">
      <c r="A33" s="687"/>
      <c r="B33" s="691"/>
      <c r="C33" s="1210" t="s">
        <v>515</v>
      </c>
      <c r="D33" s="1210"/>
      <c r="E33" s="759">
        <v>7023</v>
      </c>
      <c r="F33" s="885"/>
      <c r="G33" s="885"/>
    </row>
    <row r="34" spans="1:7" ht="27" hidden="1" customHeight="1">
      <c r="A34" s="687"/>
      <c r="B34" s="691"/>
      <c r="C34" s="1210" t="s">
        <v>516</v>
      </c>
      <c r="D34" s="1210"/>
      <c r="E34" s="759">
        <v>7024</v>
      </c>
      <c r="F34" s="885"/>
      <c r="G34" s="885"/>
    </row>
    <row r="35" spans="1:7" ht="27" hidden="1" customHeight="1">
      <c r="A35" s="687"/>
      <c r="B35" s="691"/>
      <c r="C35" s="643" t="s">
        <v>517</v>
      </c>
      <c r="D35" s="643"/>
      <c r="E35" s="759">
        <v>7025</v>
      </c>
      <c r="F35" s="885"/>
      <c r="G35" s="885"/>
    </row>
    <row r="36" spans="1:7" ht="27" hidden="1" customHeight="1">
      <c r="A36" s="687"/>
      <c r="B36" s="691"/>
      <c r="C36" s="643" t="s">
        <v>518</v>
      </c>
      <c r="D36" s="643"/>
      <c r="E36" s="759">
        <v>7026</v>
      </c>
      <c r="F36" s="885"/>
      <c r="G36" s="885"/>
    </row>
    <row r="37" spans="1:7" ht="27" hidden="1" customHeight="1">
      <c r="A37" s="687"/>
      <c r="B37" s="691"/>
      <c r="C37" s="643" t="s">
        <v>519</v>
      </c>
      <c r="D37" s="643"/>
      <c r="E37" s="759"/>
      <c r="F37" s="885"/>
      <c r="G37" s="885"/>
    </row>
    <row r="38" spans="1:7" ht="27" hidden="1" customHeight="1">
      <c r="A38" s="687"/>
      <c r="B38" s="691"/>
      <c r="C38" s="643" t="s">
        <v>520</v>
      </c>
      <c r="D38" s="643"/>
      <c r="E38" s="759">
        <v>7027</v>
      </c>
      <c r="F38" s="885"/>
      <c r="G38" s="885"/>
    </row>
    <row r="39" spans="1:7" ht="27" hidden="1" customHeight="1" thickBot="1">
      <c r="A39" s="687"/>
      <c r="B39" s="686"/>
      <c r="C39" s="813" t="s">
        <v>521</v>
      </c>
      <c r="D39" s="813"/>
      <c r="E39" s="814">
        <v>7029</v>
      </c>
      <c r="F39" s="1161"/>
      <c r="G39" s="1161"/>
    </row>
    <row r="40" spans="1:7" ht="27" customHeight="1" thickBot="1">
      <c r="A40" s="687"/>
      <c r="B40" s="696" t="s">
        <v>522</v>
      </c>
      <c r="C40" s="810"/>
      <c r="D40" s="811"/>
      <c r="E40" s="812">
        <v>703</v>
      </c>
      <c r="F40" s="1160">
        <f>SUM(F41+F45+F46+F47+F48)</f>
        <v>10000</v>
      </c>
      <c r="G40" s="1160">
        <f>SUM(G41+G45+G46+G47+G48)</f>
        <v>30000</v>
      </c>
    </row>
    <row r="41" spans="1:7" ht="27" customHeight="1">
      <c r="A41" s="687"/>
      <c r="B41" s="691"/>
      <c r="C41" s="695" t="s">
        <v>523</v>
      </c>
      <c r="D41" s="815"/>
      <c r="E41" s="693">
        <v>7030</v>
      </c>
      <c r="F41" s="889">
        <f>SUM(F42:F44)</f>
        <v>10000</v>
      </c>
      <c r="G41" s="889">
        <f>SUM(G42:G44)</f>
        <v>30000</v>
      </c>
    </row>
    <row r="42" spans="1:7" ht="27" customHeight="1">
      <c r="A42" s="687"/>
      <c r="B42" s="691"/>
      <c r="C42" s="690"/>
      <c r="D42" s="816" t="s">
        <v>874</v>
      </c>
      <c r="E42" s="699" t="s">
        <v>524</v>
      </c>
      <c r="F42" s="885">
        <v>10000</v>
      </c>
      <c r="G42" s="885">
        <v>10000</v>
      </c>
    </row>
    <row r="43" spans="1:7" ht="27" customHeight="1" thickBot="1">
      <c r="A43" s="687"/>
      <c r="B43" s="691"/>
      <c r="C43" s="690"/>
      <c r="D43" s="816" t="s">
        <v>875</v>
      </c>
      <c r="E43" s="699"/>
      <c r="F43" s="885"/>
      <c r="G43" s="885">
        <v>20000</v>
      </c>
    </row>
    <row r="44" spans="1:7" ht="27" hidden="1" customHeight="1" thickBot="1">
      <c r="A44" s="687"/>
      <c r="B44" s="691"/>
      <c r="C44" s="685"/>
      <c r="D44" s="684" t="s">
        <v>525</v>
      </c>
      <c r="E44" s="754" t="s">
        <v>526</v>
      </c>
      <c r="F44" s="894"/>
      <c r="G44" s="894"/>
    </row>
    <row r="45" spans="1:7" ht="27" hidden="1" customHeight="1">
      <c r="A45" s="687"/>
      <c r="B45" s="691"/>
      <c r="C45" s="643" t="s">
        <v>527</v>
      </c>
      <c r="D45" s="643"/>
      <c r="E45" s="759">
        <v>7031</v>
      </c>
      <c r="F45" s="885"/>
      <c r="G45" s="885"/>
    </row>
    <row r="46" spans="1:7" ht="27" hidden="1" customHeight="1">
      <c r="A46" s="687"/>
      <c r="B46" s="691"/>
      <c r="C46" s="1199" t="s">
        <v>528</v>
      </c>
      <c r="D46" s="1200"/>
      <c r="E46" s="817">
        <v>7032</v>
      </c>
      <c r="F46" s="885"/>
      <c r="G46" s="885"/>
    </row>
    <row r="47" spans="1:7" ht="27" hidden="1" customHeight="1">
      <c r="A47" s="687"/>
      <c r="B47" s="691"/>
      <c r="C47" s="1199" t="s">
        <v>529</v>
      </c>
      <c r="D47" s="1200"/>
      <c r="E47" s="817">
        <v>7033</v>
      </c>
      <c r="F47" s="885"/>
      <c r="G47" s="885"/>
    </row>
    <row r="48" spans="1:7" ht="27" hidden="1" customHeight="1" thickBot="1">
      <c r="A48" s="687"/>
      <c r="B48" s="686"/>
      <c r="C48" s="813" t="s">
        <v>530</v>
      </c>
      <c r="D48" s="813"/>
      <c r="E48" s="814">
        <v>7039</v>
      </c>
      <c r="F48" s="1161"/>
      <c r="G48" s="1161"/>
    </row>
    <row r="49" spans="1:7" ht="27" customHeight="1">
      <c r="A49" s="687"/>
      <c r="B49" s="696" t="s">
        <v>531</v>
      </c>
      <c r="C49" s="810"/>
      <c r="D49" s="811"/>
      <c r="E49" s="812">
        <v>704</v>
      </c>
      <c r="F49" s="1160">
        <f>SUM(F50+F51+F52+F59+F61+F62+F64+F66+F67)</f>
        <v>1000</v>
      </c>
      <c r="G49" s="1160">
        <f>SUM(G50+G51+G52+G59+G61+G62+G64+G66+G67)</f>
        <v>1000</v>
      </c>
    </row>
    <row r="50" spans="1:7" ht="27" hidden="1" customHeight="1">
      <c r="A50" s="687"/>
      <c r="B50" s="691"/>
      <c r="C50" s="643" t="s">
        <v>532</v>
      </c>
      <c r="D50" s="643"/>
      <c r="E50" s="759">
        <v>7040</v>
      </c>
      <c r="F50" s="885"/>
      <c r="G50" s="885"/>
    </row>
    <row r="51" spans="1:7" ht="27" hidden="1" customHeight="1" thickBot="1">
      <c r="A51" s="687"/>
      <c r="B51" s="691"/>
      <c r="C51" s="643" t="s">
        <v>533</v>
      </c>
      <c r="D51" s="643"/>
      <c r="E51" s="759">
        <v>7041</v>
      </c>
      <c r="F51" s="885"/>
      <c r="G51" s="885"/>
    </row>
    <row r="52" spans="1:7" ht="27" hidden="1" customHeight="1">
      <c r="A52" s="687"/>
      <c r="B52" s="691"/>
      <c r="C52" s="695" t="s">
        <v>534</v>
      </c>
      <c r="D52" s="815"/>
      <c r="E52" s="693">
        <v>7042</v>
      </c>
      <c r="F52" s="889">
        <f>SUM(F54+F55+F56+F57+F58)</f>
        <v>0</v>
      </c>
      <c r="G52" s="889">
        <f>SUM(G54+G55+G56+G57+G58)</f>
        <v>0</v>
      </c>
    </row>
    <row r="53" spans="1:7" ht="27" hidden="1" customHeight="1">
      <c r="A53" s="687"/>
      <c r="B53" s="691"/>
      <c r="C53" s="690"/>
      <c r="D53" s="749" t="s">
        <v>535</v>
      </c>
      <c r="E53" s="818"/>
      <c r="F53" s="885"/>
      <c r="G53" s="885"/>
    </row>
    <row r="54" spans="1:7" ht="27" hidden="1" customHeight="1">
      <c r="A54" s="687"/>
      <c r="B54" s="691"/>
      <c r="C54" s="690"/>
      <c r="D54" s="749" t="s">
        <v>536</v>
      </c>
      <c r="E54" s="730" t="s">
        <v>537</v>
      </c>
      <c r="F54" s="885"/>
      <c r="G54" s="885"/>
    </row>
    <row r="55" spans="1:7" ht="27" hidden="1" customHeight="1">
      <c r="A55" s="687"/>
      <c r="B55" s="691"/>
      <c r="C55" s="690"/>
      <c r="D55" s="749" t="s">
        <v>538</v>
      </c>
      <c r="E55" s="730" t="s">
        <v>539</v>
      </c>
      <c r="F55" s="885"/>
      <c r="G55" s="885"/>
    </row>
    <row r="56" spans="1:7" ht="27" hidden="1" customHeight="1">
      <c r="A56" s="687"/>
      <c r="B56" s="691"/>
      <c r="C56" s="690"/>
      <c r="D56" s="749" t="s">
        <v>540</v>
      </c>
      <c r="E56" s="730" t="s">
        <v>541</v>
      </c>
      <c r="F56" s="885"/>
      <c r="G56" s="885"/>
    </row>
    <row r="57" spans="1:7" ht="27" hidden="1" customHeight="1">
      <c r="A57" s="687"/>
      <c r="B57" s="691"/>
      <c r="C57" s="690"/>
      <c r="D57" s="749" t="s">
        <v>542</v>
      </c>
      <c r="E57" s="730" t="s">
        <v>543</v>
      </c>
      <c r="F57" s="885"/>
      <c r="G57" s="885"/>
    </row>
    <row r="58" spans="1:7" ht="27" hidden="1" customHeight="1" thickBot="1">
      <c r="A58" s="687"/>
      <c r="B58" s="691"/>
      <c r="C58" s="685"/>
      <c r="D58" s="750" t="s">
        <v>544</v>
      </c>
      <c r="E58" s="748" t="s">
        <v>545</v>
      </c>
      <c r="F58" s="894"/>
      <c r="G58" s="894"/>
    </row>
    <row r="59" spans="1:7" ht="27" hidden="1" customHeight="1">
      <c r="A59" s="687"/>
      <c r="B59" s="691"/>
      <c r="C59" s="643" t="s">
        <v>546</v>
      </c>
      <c r="D59" s="643"/>
      <c r="E59" s="759">
        <v>7043</v>
      </c>
      <c r="F59" s="885"/>
      <c r="G59" s="885"/>
    </row>
    <row r="60" spans="1:7" ht="27" hidden="1" customHeight="1">
      <c r="A60" s="687"/>
      <c r="B60" s="691"/>
      <c r="C60" s="643" t="s">
        <v>547</v>
      </c>
      <c r="D60" s="643"/>
      <c r="E60" s="759"/>
      <c r="F60" s="885"/>
      <c r="G60" s="885"/>
    </row>
    <row r="61" spans="1:7" ht="27" customHeight="1" thickBot="1">
      <c r="A61" s="687"/>
      <c r="B61" s="691"/>
      <c r="C61" s="643" t="s">
        <v>548</v>
      </c>
      <c r="D61" s="643"/>
      <c r="E61" s="759">
        <v>7044</v>
      </c>
      <c r="F61" s="885">
        <v>1000</v>
      </c>
      <c r="G61" s="885">
        <v>1000</v>
      </c>
    </row>
    <row r="62" spans="1:7" ht="27" hidden="1" customHeight="1">
      <c r="A62" s="687"/>
      <c r="B62" s="691"/>
      <c r="C62" s="643" t="s">
        <v>549</v>
      </c>
      <c r="D62" s="643"/>
      <c r="E62" s="759">
        <v>7045</v>
      </c>
      <c r="F62" s="885"/>
      <c r="G62" s="885"/>
    </row>
    <row r="63" spans="1:7" ht="27" hidden="1" customHeight="1">
      <c r="A63" s="687"/>
      <c r="B63" s="691"/>
      <c r="C63" s="643" t="s">
        <v>550</v>
      </c>
      <c r="D63" s="643"/>
      <c r="E63" s="759"/>
      <c r="F63" s="885"/>
      <c r="G63" s="885"/>
    </row>
    <row r="64" spans="1:7" ht="27" hidden="1" customHeight="1">
      <c r="A64" s="687"/>
      <c r="B64" s="691"/>
      <c r="C64" s="643" t="s">
        <v>551</v>
      </c>
      <c r="D64" s="643"/>
      <c r="E64" s="759">
        <v>7046</v>
      </c>
      <c r="F64" s="885"/>
      <c r="G64" s="885"/>
    </row>
    <row r="65" spans="1:7" ht="27" hidden="1" customHeight="1">
      <c r="A65" s="687"/>
      <c r="B65" s="691"/>
      <c r="C65" s="643" t="s">
        <v>552</v>
      </c>
      <c r="D65" s="643"/>
      <c r="E65" s="759"/>
      <c r="F65" s="885"/>
      <c r="G65" s="885"/>
    </row>
    <row r="66" spans="1:7" ht="27" hidden="1" customHeight="1">
      <c r="A66" s="687"/>
      <c r="B66" s="691"/>
      <c r="C66" s="643" t="s">
        <v>553</v>
      </c>
      <c r="D66" s="643"/>
      <c r="E66" s="759">
        <v>7048</v>
      </c>
      <c r="F66" s="885"/>
      <c r="G66" s="885"/>
    </row>
    <row r="67" spans="1:7" ht="27" hidden="1" customHeight="1" thickBot="1">
      <c r="A67" s="687"/>
      <c r="B67" s="686"/>
      <c r="C67" s="813" t="s">
        <v>554</v>
      </c>
      <c r="D67" s="813"/>
      <c r="E67" s="814">
        <v>7049</v>
      </c>
      <c r="F67" s="1161"/>
      <c r="G67" s="1161"/>
    </row>
    <row r="68" spans="1:7" ht="27" hidden="1" customHeight="1">
      <c r="A68" s="687"/>
      <c r="B68" s="696" t="s">
        <v>555</v>
      </c>
      <c r="C68" s="810"/>
      <c r="D68" s="811"/>
      <c r="E68" s="812">
        <v>706</v>
      </c>
      <c r="F68" s="1160">
        <f>SUM(F69+F70+F71+F72)</f>
        <v>0</v>
      </c>
      <c r="G68" s="1160">
        <f>SUM(G69+G70+G71+G72)</f>
        <v>0</v>
      </c>
    </row>
    <row r="69" spans="1:7" ht="27" hidden="1" customHeight="1">
      <c r="A69" s="687"/>
      <c r="B69" s="691"/>
      <c r="C69" s="643" t="s">
        <v>556</v>
      </c>
      <c r="D69" s="643"/>
      <c r="E69" s="759">
        <v>7060</v>
      </c>
      <c r="F69" s="885"/>
      <c r="G69" s="885"/>
    </row>
    <row r="70" spans="1:7" ht="27" hidden="1" customHeight="1">
      <c r="A70" s="687"/>
      <c r="B70" s="691"/>
      <c r="C70" s="643" t="s">
        <v>557</v>
      </c>
      <c r="D70" s="643"/>
      <c r="E70" s="759">
        <v>7061</v>
      </c>
      <c r="F70" s="885"/>
      <c r="G70" s="885"/>
    </row>
    <row r="71" spans="1:7" ht="27" hidden="1" customHeight="1">
      <c r="A71" s="687"/>
      <c r="B71" s="691"/>
      <c r="C71" s="643" t="s">
        <v>558</v>
      </c>
      <c r="D71" s="643"/>
      <c r="E71" s="759">
        <v>7062</v>
      </c>
      <c r="F71" s="885"/>
      <c r="G71" s="885"/>
    </row>
    <row r="72" spans="1:7" ht="27" hidden="1" customHeight="1" thickBot="1">
      <c r="A72" s="687"/>
      <c r="B72" s="686"/>
      <c r="C72" s="813" t="s">
        <v>559</v>
      </c>
      <c r="D72" s="813"/>
      <c r="E72" s="814">
        <v>7063</v>
      </c>
      <c r="F72" s="1161"/>
      <c r="G72" s="1161"/>
    </row>
    <row r="73" spans="1:7" ht="27" hidden="1" customHeight="1" thickBot="1">
      <c r="A73" s="687"/>
      <c r="B73" s="722" t="s">
        <v>560</v>
      </c>
      <c r="C73" s="721"/>
      <c r="D73" s="720"/>
      <c r="E73" s="819">
        <v>707</v>
      </c>
      <c r="F73" s="895"/>
      <c r="G73" s="895"/>
    </row>
    <row r="74" spans="1:7" ht="27" hidden="1" customHeight="1" thickBot="1">
      <c r="A74" s="681"/>
      <c r="B74" s="820" t="s">
        <v>561</v>
      </c>
      <c r="C74" s="821"/>
      <c r="D74" s="822"/>
      <c r="E74" s="823">
        <v>708</v>
      </c>
      <c r="F74" s="1162"/>
      <c r="G74" s="1162"/>
    </row>
    <row r="75" spans="1:7" ht="27" hidden="1" customHeight="1" thickTop="1" thickBot="1">
      <c r="A75" s="675" t="s">
        <v>562</v>
      </c>
      <c r="B75" s="676"/>
      <c r="C75" s="675"/>
      <c r="D75" s="674"/>
      <c r="E75" s="724">
        <v>71</v>
      </c>
      <c r="F75" s="1163"/>
      <c r="G75" s="1164"/>
    </row>
    <row r="76" spans="1:7" ht="27" hidden="1" customHeight="1" thickTop="1" thickBot="1">
      <c r="A76" s="675" t="s">
        <v>563</v>
      </c>
      <c r="B76" s="676"/>
      <c r="C76" s="675"/>
      <c r="D76" s="674"/>
      <c r="E76" s="724">
        <v>72</v>
      </c>
      <c r="F76" s="1163"/>
      <c r="G76" s="1164"/>
    </row>
    <row r="77" spans="1:7" ht="27" customHeight="1" thickTop="1" thickBot="1">
      <c r="A77" s="824" t="s">
        <v>564</v>
      </c>
      <c r="B77" s="803"/>
      <c r="C77" s="666"/>
      <c r="D77" s="665"/>
      <c r="E77" s="724">
        <v>73</v>
      </c>
      <c r="F77" s="1165">
        <f>SUM(F78+F81+F84+F91+F94+F95+F96+F124)</f>
        <v>146350</v>
      </c>
      <c r="G77" s="884">
        <f>SUM(G78+G81+G84+G91+G94+G95+G96+G124)</f>
        <v>146350</v>
      </c>
    </row>
    <row r="78" spans="1:7" ht="27" customHeight="1" thickTop="1">
      <c r="A78" s="687"/>
      <c r="B78" s="825" t="s">
        <v>565</v>
      </c>
      <c r="C78" s="803"/>
      <c r="D78" s="665"/>
      <c r="E78" s="826">
        <v>730</v>
      </c>
      <c r="F78" s="918">
        <f>SUM(F79+F80)</f>
        <v>250</v>
      </c>
      <c r="G78" s="918">
        <f>SUM(G79+G80)</f>
        <v>250</v>
      </c>
    </row>
    <row r="79" spans="1:7" ht="27" customHeight="1" thickBot="1">
      <c r="A79" s="687"/>
      <c r="B79" s="691"/>
      <c r="C79" s="643" t="s">
        <v>566</v>
      </c>
      <c r="D79" s="643"/>
      <c r="E79" s="759">
        <v>7300</v>
      </c>
      <c r="F79" s="885">
        <v>250</v>
      </c>
      <c r="G79" s="885">
        <v>250</v>
      </c>
    </row>
    <row r="80" spans="1:7" ht="27" hidden="1" customHeight="1" thickBot="1">
      <c r="A80" s="687"/>
      <c r="B80" s="686"/>
      <c r="C80" s="813" t="s">
        <v>567</v>
      </c>
      <c r="D80" s="813"/>
      <c r="E80" s="814">
        <v>7301</v>
      </c>
      <c r="F80" s="1161"/>
      <c r="G80" s="1161"/>
    </row>
    <row r="81" spans="1:7" ht="27" hidden="1" customHeight="1">
      <c r="A81" s="687"/>
      <c r="B81" s="696" t="s">
        <v>568</v>
      </c>
      <c r="C81" s="810"/>
      <c r="D81" s="811"/>
      <c r="E81" s="812">
        <v>731</v>
      </c>
      <c r="F81" s="1160">
        <f>SUM(F82+F83)</f>
        <v>0</v>
      </c>
      <c r="G81" s="1160">
        <f>SUM(G82+G83)</f>
        <v>0</v>
      </c>
    </row>
    <row r="82" spans="1:7" ht="27" hidden="1" customHeight="1">
      <c r="A82" s="687"/>
      <c r="B82" s="691"/>
      <c r="C82" s="643" t="s">
        <v>569</v>
      </c>
      <c r="D82" s="643"/>
      <c r="E82" s="759">
        <v>7310</v>
      </c>
      <c r="F82" s="885"/>
      <c r="G82" s="885"/>
    </row>
    <row r="83" spans="1:7" ht="27" hidden="1" customHeight="1" thickBot="1">
      <c r="A83" s="687"/>
      <c r="B83" s="686"/>
      <c r="C83" s="813" t="s">
        <v>567</v>
      </c>
      <c r="D83" s="813"/>
      <c r="E83" s="814">
        <v>7311</v>
      </c>
      <c r="F83" s="1161"/>
      <c r="G83" s="1161"/>
    </row>
    <row r="84" spans="1:7" ht="27" hidden="1" customHeight="1">
      <c r="A84" s="687"/>
      <c r="B84" s="696" t="s">
        <v>570</v>
      </c>
      <c r="C84" s="810"/>
      <c r="D84" s="811"/>
      <c r="E84" s="812">
        <v>732</v>
      </c>
      <c r="F84" s="1160">
        <f>SUM(F85+F86+F87)</f>
        <v>0</v>
      </c>
      <c r="G84" s="1160">
        <f>SUM(G85+G86+G87)</f>
        <v>0</v>
      </c>
    </row>
    <row r="85" spans="1:7" ht="27" hidden="1" customHeight="1">
      <c r="A85" s="687"/>
      <c r="B85" s="691"/>
      <c r="C85" s="643" t="s">
        <v>571</v>
      </c>
      <c r="D85" s="643"/>
      <c r="E85" s="759">
        <v>7320</v>
      </c>
      <c r="F85" s="885"/>
      <c r="G85" s="885"/>
    </row>
    <row r="86" spans="1:7" ht="27" hidden="1" customHeight="1" thickBot="1">
      <c r="A86" s="687"/>
      <c r="B86" s="691"/>
      <c r="C86" s="643" t="s">
        <v>572</v>
      </c>
      <c r="D86" s="643"/>
      <c r="E86" s="759">
        <v>7321</v>
      </c>
      <c r="F86" s="885"/>
      <c r="G86" s="885"/>
    </row>
    <row r="87" spans="1:7" ht="27" hidden="1" customHeight="1">
      <c r="A87" s="687"/>
      <c r="B87" s="691"/>
      <c r="C87" s="695" t="s">
        <v>573</v>
      </c>
      <c r="D87" s="815"/>
      <c r="E87" s="693">
        <v>7322</v>
      </c>
      <c r="F87" s="889">
        <f>SUM(F88+F89+F90)</f>
        <v>0</v>
      </c>
      <c r="G87" s="889">
        <f>SUM(G88+G89+G90)</f>
        <v>0</v>
      </c>
    </row>
    <row r="88" spans="1:7" ht="27" hidden="1" customHeight="1">
      <c r="A88" s="687"/>
      <c r="B88" s="691"/>
      <c r="C88" s="690"/>
      <c r="D88" s="643" t="s">
        <v>574</v>
      </c>
      <c r="E88" s="827" t="s">
        <v>575</v>
      </c>
      <c r="F88" s="1166"/>
      <c r="G88" s="885"/>
    </row>
    <row r="89" spans="1:7" ht="27" hidden="1" customHeight="1">
      <c r="A89" s="687"/>
      <c r="B89" s="691"/>
      <c r="C89" s="690"/>
      <c r="D89" s="643" t="s">
        <v>576</v>
      </c>
      <c r="E89" s="827" t="s">
        <v>577</v>
      </c>
      <c r="F89" s="1166"/>
      <c r="G89" s="885"/>
    </row>
    <row r="90" spans="1:7" ht="27" hidden="1" customHeight="1" thickBot="1">
      <c r="A90" s="687"/>
      <c r="B90" s="686"/>
      <c r="C90" s="828"/>
      <c r="D90" s="813" t="s">
        <v>578</v>
      </c>
      <c r="E90" s="829" t="s">
        <v>579</v>
      </c>
      <c r="F90" s="1167"/>
      <c r="G90" s="1161"/>
    </row>
    <row r="91" spans="1:7" ht="27" hidden="1" customHeight="1">
      <c r="A91" s="687"/>
      <c r="B91" s="696" t="s">
        <v>580</v>
      </c>
      <c r="C91" s="810"/>
      <c r="D91" s="811"/>
      <c r="E91" s="812">
        <v>733</v>
      </c>
      <c r="F91" s="1160">
        <f>SUM(F92+F93)</f>
        <v>0</v>
      </c>
      <c r="G91" s="1160">
        <f>SUM(G92+G93)</f>
        <v>0</v>
      </c>
    </row>
    <row r="92" spans="1:7" ht="27" hidden="1" customHeight="1">
      <c r="A92" s="687"/>
      <c r="B92" s="691"/>
      <c r="C92" s="643" t="s">
        <v>581</v>
      </c>
      <c r="D92" s="643"/>
      <c r="E92" s="759">
        <v>7330</v>
      </c>
      <c r="F92" s="885"/>
      <c r="G92" s="885"/>
    </row>
    <row r="93" spans="1:7" ht="27" hidden="1" customHeight="1" thickBot="1">
      <c r="A93" s="687"/>
      <c r="B93" s="686"/>
      <c r="C93" s="813" t="s">
        <v>582</v>
      </c>
      <c r="D93" s="813"/>
      <c r="E93" s="814">
        <v>7331</v>
      </c>
      <c r="F93" s="1161"/>
      <c r="G93" s="1161"/>
    </row>
    <row r="94" spans="1:7" ht="27" hidden="1" customHeight="1" thickBot="1">
      <c r="A94" s="687"/>
      <c r="B94" s="696" t="s">
        <v>583</v>
      </c>
      <c r="C94" s="810"/>
      <c r="D94" s="741"/>
      <c r="E94" s="819">
        <v>734</v>
      </c>
      <c r="F94" s="895"/>
      <c r="G94" s="895"/>
    </row>
    <row r="95" spans="1:7" ht="27" hidden="1" customHeight="1" thickBot="1">
      <c r="A95" s="687"/>
      <c r="B95" s="722" t="s">
        <v>584</v>
      </c>
      <c r="C95" s="830"/>
      <c r="D95" s="741"/>
      <c r="E95" s="819">
        <v>735</v>
      </c>
      <c r="F95" s="895"/>
      <c r="G95" s="895"/>
    </row>
    <row r="96" spans="1:7" ht="27" hidden="1" customHeight="1" thickBot="1">
      <c r="A96" s="687"/>
      <c r="B96" s="696" t="s">
        <v>585</v>
      </c>
      <c r="C96" s="810"/>
      <c r="D96" s="811"/>
      <c r="E96" s="812">
        <v>736</v>
      </c>
      <c r="F96" s="1160">
        <f>SUM(F97+F110)</f>
        <v>0</v>
      </c>
      <c r="G96" s="1160">
        <f>SUM(G97+G110)</f>
        <v>0</v>
      </c>
    </row>
    <row r="97" spans="1:7" ht="27" hidden="1" customHeight="1">
      <c r="A97" s="687"/>
      <c r="B97" s="691"/>
      <c r="C97" s="695" t="s">
        <v>586</v>
      </c>
      <c r="D97" s="815"/>
      <c r="E97" s="693">
        <v>7361</v>
      </c>
      <c r="F97" s="889">
        <f>SUM(F98+F99+F100+F101+F102+F103+F107+F108+F109)</f>
        <v>0</v>
      </c>
      <c r="G97" s="889">
        <f>SUM(G98+G99+G100+G101+G102+G103+G107+G108+G109)</f>
        <v>0</v>
      </c>
    </row>
    <row r="98" spans="1:7" ht="27" hidden="1" customHeight="1">
      <c r="A98" s="687"/>
      <c r="B98" s="691"/>
      <c r="C98" s="690"/>
      <c r="D98" s="749" t="s">
        <v>587</v>
      </c>
      <c r="E98" s="730" t="s">
        <v>588</v>
      </c>
      <c r="F98" s="885"/>
      <c r="G98" s="885"/>
    </row>
    <row r="99" spans="1:7" ht="27" hidden="1" customHeight="1">
      <c r="A99" s="687"/>
      <c r="B99" s="691"/>
      <c r="C99" s="690"/>
      <c r="D99" s="749" t="s">
        <v>589</v>
      </c>
      <c r="E99" s="730" t="s">
        <v>590</v>
      </c>
      <c r="F99" s="885"/>
      <c r="G99" s="885"/>
    </row>
    <row r="100" spans="1:7" ht="27" hidden="1" customHeight="1">
      <c r="A100" s="687"/>
      <c r="B100" s="691"/>
      <c r="C100" s="690"/>
      <c r="D100" s="749" t="s">
        <v>591</v>
      </c>
      <c r="E100" s="730" t="s">
        <v>592</v>
      </c>
      <c r="F100" s="885"/>
      <c r="G100" s="885"/>
    </row>
    <row r="101" spans="1:7" ht="27" hidden="1" customHeight="1">
      <c r="A101" s="687"/>
      <c r="B101" s="691"/>
      <c r="C101" s="690"/>
      <c r="D101" s="749" t="s">
        <v>593</v>
      </c>
      <c r="E101" s="730" t="s">
        <v>594</v>
      </c>
      <c r="F101" s="885"/>
      <c r="G101" s="885"/>
    </row>
    <row r="102" spans="1:7" ht="27" hidden="1" customHeight="1" thickBot="1">
      <c r="A102" s="687"/>
      <c r="B102" s="691"/>
      <c r="C102" s="690"/>
      <c r="D102" s="749" t="s">
        <v>595</v>
      </c>
      <c r="E102" s="730" t="s">
        <v>596</v>
      </c>
      <c r="F102" s="885"/>
      <c r="G102" s="885"/>
    </row>
    <row r="103" spans="1:7" ht="27" hidden="1" customHeight="1">
      <c r="A103" s="687"/>
      <c r="B103" s="691"/>
      <c r="C103" s="690"/>
      <c r="D103" s="831" t="s">
        <v>597</v>
      </c>
      <c r="E103" s="832" t="s">
        <v>598</v>
      </c>
      <c r="F103" s="890">
        <f>SUM(F104+F105+F106)</f>
        <v>0</v>
      </c>
      <c r="G103" s="890">
        <f>SUM(G104+G105+G106)</f>
        <v>0</v>
      </c>
    </row>
    <row r="104" spans="1:7" ht="27" hidden="1" customHeight="1">
      <c r="A104" s="687"/>
      <c r="B104" s="691"/>
      <c r="C104" s="690"/>
      <c r="D104" s="833" t="s">
        <v>599</v>
      </c>
      <c r="E104" s="730" t="s">
        <v>600</v>
      </c>
      <c r="F104" s="885"/>
      <c r="G104" s="885"/>
    </row>
    <row r="105" spans="1:7" ht="27" hidden="1" customHeight="1">
      <c r="A105" s="687"/>
      <c r="B105" s="691"/>
      <c r="C105" s="690"/>
      <c r="D105" s="833" t="s">
        <v>601</v>
      </c>
      <c r="E105" s="699" t="s">
        <v>602</v>
      </c>
      <c r="F105" s="885"/>
      <c r="G105" s="885"/>
    </row>
    <row r="106" spans="1:7" ht="27" hidden="1" customHeight="1" thickBot="1">
      <c r="A106" s="687"/>
      <c r="B106" s="691"/>
      <c r="C106" s="690"/>
      <c r="D106" s="834" t="s">
        <v>603</v>
      </c>
      <c r="E106" s="765" t="s">
        <v>604</v>
      </c>
      <c r="F106" s="891"/>
      <c r="G106" s="891"/>
    </row>
    <row r="107" spans="1:7" ht="27" hidden="1" customHeight="1">
      <c r="A107" s="687"/>
      <c r="B107" s="691"/>
      <c r="C107" s="690"/>
      <c r="D107" s="749" t="s">
        <v>605</v>
      </c>
      <c r="E107" s="699">
        <v>73616</v>
      </c>
      <c r="F107" s="885"/>
      <c r="G107" s="885"/>
    </row>
    <row r="108" spans="1:7" ht="27" hidden="1" customHeight="1">
      <c r="A108" s="687"/>
      <c r="B108" s="691"/>
      <c r="C108" s="690"/>
      <c r="D108" s="749" t="s">
        <v>606</v>
      </c>
      <c r="E108" s="699">
        <v>73617</v>
      </c>
      <c r="F108" s="885"/>
      <c r="G108" s="885"/>
    </row>
    <row r="109" spans="1:7" ht="27" hidden="1" customHeight="1" thickBot="1">
      <c r="A109" s="687"/>
      <c r="B109" s="691"/>
      <c r="C109" s="685"/>
      <c r="D109" s="646" t="s">
        <v>607</v>
      </c>
      <c r="E109" s="754">
        <v>73619</v>
      </c>
      <c r="F109" s="894"/>
      <c r="G109" s="894"/>
    </row>
    <row r="110" spans="1:7" ht="27" hidden="1" customHeight="1">
      <c r="A110" s="687"/>
      <c r="B110" s="691"/>
      <c r="C110" s="695" t="s">
        <v>608</v>
      </c>
      <c r="D110" s="815"/>
      <c r="E110" s="693">
        <v>7362</v>
      </c>
      <c r="F110" s="889">
        <f>SUM(F111+F112+F113+F114+F115+F116+F120+F121+F123)</f>
        <v>0</v>
      </c>
      <c r="G110" s="889">
        <f>SUM(G111+G112+G113+G114+G115+G116+G120+G121+G123)</f>
        <v>0</v>
      </c>
    </row>
    <row r="111" spans="1:7" ht="27" hidden="1" customHeight="1">
      <c r="A111" s="687"/>
      <c r="B111" s="691"/>
      <c r="C111" s="690"/>
      <c r="D111" s="749" t="s">
        <v>587</v>
      </c>
      <c r="E111" s="699">
        <v>73620</v>
      </c>
      <c r="F111" s="885"/>
      <c r="G111" s="885"/>
    </row>
    <row r="112" spans="1:7" ht="27" hidden="1" customHeight="1">
      <c r="A112" s="687"/>
      <c r="B112" s="691"/>
      <c r="C112" s="690"/>
      <c r="D112" s="749" t="s">
        <v>589</v>
      </c>
      <c r="E112" s="699">
        <v>73621</v>
      </c>
      <c r="F112" s="885"/>
      <c r="G112" s="885"/>
    </row>
    <row r="113" spans="1:7" ht="27" hidden="1" customHeight="1">
      <c r="A113" s="687"/>
      <c r="B113" s="691"/>
      <c r="C113" s="690"/>
      <c r="D113" s="749" t="s">
        <v>591</v>
      </c>
      <c r="E113" s="699">
        <v>73622</v>
      </c>
      <c r="F113" s="885"/>
      <c r="G113" s="885"/>
    </row>
    <row r="114" spans="1:7" ht="27" hidden="1" customHeight="1">
      <c r="A114" s="687"/>
      <c r="B114" s="691"/>
      <c r="C114" s="690"/>
      <c r="D114" s="749" t="s">
        <v>593</v>
      </c>
      <c r="E114" s="699">
        <v>73623</v>
      </c>
      <c r="F114" s="885"/>
      <c r="G114" s="885"/>
    </row>
    <row r="115" spans="1:7" ht="27" hidden="1" customHeight="1" thickBot="1">
      <c r="A115" s="687"/>
      <c r="B115" s="691"/>
      <c r="C115" s="690"/>
      <c r="D115" s="749" t="s">
        <v>595</v>
      </c>
      <c r="E115" s="699">
        <v>73624</v>
      </c>
      <c r="F115" s="885"/>
      <c r="G115" s="885"/>
    </row>
    <row r="116" spans="1:7" ht="27" hidden="1" customHeight="1">
      <c r="A116" s="687"/>
      <c r="B116" s="691"/>
      <c r="C116" s="690"/>
      <c r="D116" s="831" t="s">
        <v>609</v>
      </c>
      <c r="E116" s="835">
        <v>73625</v>
      </c>
      <c r="F116" s="890">
        <f>SUM(F117+F118+F119)</f>
        <v>0</v>
      </c>
      <c r="G116" s="890">
        <f>SUM(G117+G118+G119)</f>
        <v>0</v>
      </c>
    </row>
    <row r="117" spans="1:7" ht="27" hidden="1" customHeight="1">
      <c r="A117" s="687"/>
      <c r="B117" s="691"/>
      <c r="C117" s="690"/>
      <c r="D117" s="833" t="s">
        <v>599</v>
      </c>
      <c r="E117" s="699" t="s">
        <v>610</v>
      </c>
      <c r="F117" s="885"/>
      <c r="G117" s="885"/>
    </row>
    <row r="118" spans="1:7" ht="27" hidden="1" customHeight="1">
      <c r="A118" s="687"/>
      <c r="B118" s="691"/>
      <c r="C118" s="690"/>
      <c r="D118" s="833" t="s">
        <v>601</v>
      </c>
      <c r="E118" s="699" t="s">
        <v>611</v>
      </c>
      <c r="F118" s="885"/>
      <c r="G118" s="885"/>
    </row>
    <row r="119" spans="1:7" ht="27" hidden="1" customHeight="1" thickBot="1">
      <c r="A119" s="687"/>
      <c r="B119" s="691"/>
      <c r="C119" s="690"/>
      <c r="D119" s="834" t="s">
        <v>612</v>
      </c>
      <c r="E119" s="765" t="s">
        <v>613</v>
      </c>
      <c r="F119" s="891"/>
      <c r="G119" s="891"/>
    </row>
    <row r="120" spans="1:7" ht="27" hidden="1" customHeight="1">
      <c r="A120" s="687"/>
      <c r="B120" s="691"/>
      <c r="C120" s="690"/>
      <c r="D120" s="749" t="s">
        <v>605</v>
      </c>
      <c r="E120" s="699">
        <v>73626</v>
      </c>
      <c r="F120" s="885"/>
      <c r="G120" s="885"/>
    </row>
    <row r="121" spans="1:7" ht="27" hidden="1" customHeight="1">
      <c r="A121" s="687"/>
      <c r="B121" s="691"/>
      <c r="C121" s="690"/>
      <c r="D121" s="749" t="s">
        <v>606</v>
      </c>
      <c r="E121" s="699">
        <v>73627</v>
      </c>
      <c r="F121" s="885"/>
      <c r="G121" s="885"/>
    </row>
    <row r="122" spans="1:7" ht="27" hidden="1" customHeight="1">
      <c r="A122" s="687"/>
      <c r="B122" s="691"/>
      <c r="C122" s="690"/>
      <c r="D122" s="749" t="s">
        <v>614</v>
      </c>
      <c r="E122" s="818"/>
      <c r="F122" s="885"/>
      <c r="G122" s="885"/>
    </row>
    <row r="123" spans="1:7" ht="27" hidden="1" customHeight="1" thickBot="1">
      <c r="A123" s="687"/>
      <c r="B123" s="686"/>
      <c r="C123" s="828"/>
      <c r="D123" s="836" t="s">
        <v>615</v>
      </c>
      <c r="E123" s="837">
        <v>73629</v>
      </c>
      <c r="F123" s="1161"/>
      <c r="G123" s="1161"/>
    </row>
    <row r="124" spans="1:7" ht="27" customHeight="1" thickBot="1">
      <c r="A124" s="687"/>
      <c r="B124" s="696" t="s">
        <v>616</v>
      </c>
      <c r="C124" s="810"/>
      <c r="D124" s="811"/>
      <c r="E124" s="812">
        <v>737</v>
      </c>
      <c r="F124" s="1160">
        <f>SUM(F126+F127+F129+F130+F133+F136+F144+F145+F146+F147)</f>
        <v>146100</v>
      </c>
      <c r="G124" s="1160">
        <f>SUM(G126+G127+G129+G130+G133+G136+G144+G145+G146+G147)</f>
        <v>146100</v>
      </c>
    </row>
    <row r="125" spans="1:7" ht="27" hidden="1" customHeight="1">
      <c r="A125" s="687"/>
      <c r="B125" s="691"/>
      <c r="C125" s="643" t="s">
        <v>617</v>
      </c>
      <c r="D125" s="643"/>
      <c r="E125" s="818"/>
      <c r="F125" s="885"/>
      <c r="G125" s="885"/>
    </row>
    <row r="126" spans="1:7" ht="27" hidden="1" customHeight="1">
      <c r="A126" s="687"/>
      <c r="B126" s="691"/>
      <c r="C126" s="643" t="s">
        <v>618</v>
      </c>
      <c r="D126" s="643"/>
      <c r="E126" s="759">
        <v>7370</v>
      </c>
      <c r="F126" s="885"/>
      <c r="G126" s="885"/>
    </row>
    <row r="127" spans="1:7" ht="27" hidden="1" customHeight="1">
      <c r="A127" s="687"/>
      <c r="B127" s="691"/>
      <c r="C127" s="643" t="s">
        <v>619</v>
      </c>
      <c r="D127" s="643"/>
      <c r="E127" s="759">
        <v>7371</v>
      </c>
      <c r="F127" s="885"/>
      <c r="G127" s="885"/>
    </row>
    <row r="128" spans="1:7" ht="27" hidden="1" customHeight="1">
      <c r="A128" s="687"/>
      <c r="B128" s="691"/>
      <c r="C128" s="643" t="s">
        <v>620</v>
      </c>
      <c r="D128" s="643"/>
      <c r="E128" s="818"/>
      <c r="F128" s="885"/>
      <c r="G128" s="885"/>
    </row>
    <row r="129" spans="1:7" ht="27" hidden="1" customHeight="1" thickBot="1">
      <c r="A129" s="687"/>
      <c r="B129" s="691"/>
      <c r="C129" s="643" t="s">
        <v>621</v>
      </c>
      <c r="D129" s="643"/>
      <c r="E129" s="759">
        <v>7372</v>
      </c>
      <c r="F129" s="885"/>
      <c r="G129" s="885"/>
    </row>
    <row r="130" spans="1:7" ht="27" hidden="1" customHeight="1">
      <c r="A130" s="687"/>
      <c r="B130" s="691"/>
      <c r="C130" s="695" t="s">
        <v>622</v>
      </c>
      <c r="D130" s="815"/>
      <c r="E130" s="693">
        <v>7373</v>
      </c>
      <c r="F130" s="889">
        <f>SUM(F131+F132)</f>
        <v>0</v>
      </c>
      <c r="G130" s="889">
        <f>SUM(G131+G132)</f>
        <v>0</v>
      </c>
    </row>
    <row r="131" spans="1:7" ht="27" hidden="1" customHeight="1">
      <c r="A131" s="687"/>
      <c r="B131" s="691"/>
      <c r="C131" s="690"/>
      <c r="D131" s="749" t="s">
        <v>623</v>
      </c>
      <c r="E131" s="699" t="s">
        <v>624</v>
      </c>
      <c r="F131" s="885"/>
      <c r="G131" s="885"/>
    </row>
    <row r="132" spans="1:7" ht="27" hidden="1" customHeight="1" thickBot="1">
      <c r="A132" s="687"/>
      <c r="B132" s="691"/>
      <c r="C132" s="685"/>
      <c r="D132" s="646" t="s">
        <v>625</v>
      </c>
      <c r="E132" s="754" t="s">
        <v>626</v>
      </c>
      <c r="F132" s="894"/>
      <c r="G132" s="894"/>
    </row>
    <row r="133" spans="1:7" ht="27" customHeight="1">
      <c r="A133" s="687"/>
      <c r="B133" s="691"/>
      <c r="C133" s="695" t="s">
        <v>627</v>
      </c>
      <c r="D133" s="815"/>
      <c r="E133" s="693">
        <v>7374</v>
      </c>
      <c r="F133" s="889">
        <f>SUM(F134+F135)</f>
        <v>59100</v>
      </c>
      <c r="G133" s="889">
        <f>SUM(G134+G135)</f>
        <v>59100</v>
      </c>
    </row>
    <row r="134" spans="1:7" ht="27" customHeight="1" thickBot="1">
      <c r="A134" s="687"/>
      <c r="B134" s="691"/>
      <c r="C134" s="690"/>
      <c r="D134" s="749" t="s">
        <v>628</v>
      </c>
      <c r="E134" s="699" t="s">
        <v>629</v>
      </c>
      <c r="F134" s="885">
        <v>59100</v>
      </c>
      <c r="G134" s="885">
        <v>59100</v>
      </c>
    </row>
    <row r="135" spans="1:7" ht="27" hidden="1" customHeight="1" thickBot="1">
      <c r="A135" s="687"/>
      <c r="B135" s="691"/>
      <c r="C135" s="685"/>
      <c r="D135" s="646" t="s">
        <v>630</v>
      </c>
      <c r="E135" s="754" t="s">
        <v>631</v>
      </c>
      <c r="F135" s="894"/>
      <c r="G135" s="894"/>
    </row>
    <row r="136" spans="1:7" ht="27" customHeight="1">
      <c r="A136" s="687"/>
      <c r="B136" s="691"/>
      <c r="C136" s="695" t="s">
        <v>632</v>
      </c>
      <c r="D136" s="815"/>
      <c r="E136" s="693">
        <v>7375</v>
      </c>
      <c r="F136" s="889">
        <f>SUM(F137+F138+F139+F140+F141+F142+F143)</f>
        <v>87000</v>
      </c>
      <c r="G136" s="889">
        <f>SUM(G137+G138+G139+G140+G141+G142+G143)</f>
        <v>87000</v>
      </c>
    </row>
    <row r="137" spans="1:7" ht="27" customHeight="1" thickBot="1">
      <c r="A137" s="687"/>
      <c r="B137" s="691"/>
      <c r="C137" s="690"/>
      <c r="D137" s="749" t="s">
        <v>633</v>
      </c>
      <c r="E137" s="730" t="s">
        <v>634</v>
      </c>
      <c r="F137" s="885">
        <v>87000</v>
      </c>
      <c r="G137" s="885">
        <v>87000</v>
      </c>
    </row>
    <row r="138" spans="1:7" ht="27" hidden="1" customHeight="1">
      <c r="A138" s="687"/>
      <c r="B138" s="691"/>
      <c r="C138" s="690"/>
      <c r="D138" s="749" t="s">
        <v>635</v>
      </c>
      <c r="E138" s="730" t="s">
        <v>636</v>
      </c>
      <c r="F138" s="885"/>
      <c r="G138" s="885"/>
    </row>
    <row r="139" spans="1:7" ht="27" hidden="1" customHeight="1">
      <c r="A139" s="687"/>
      <c r="B139" s="691"/>
      <c r="C139" s="690"/>
      <c r="D139" s="749" t="s">
        <v>637</v>
      </c>
      <c r="E139" s="730" t="s">
        <v>638</v>
      </c>
      <c r="F139" s="885"/>
      <c r="G139" s="885"/>
    </row>
    <row r="140" spans="1:7" ht="27" hidden="1" customHeight="1">
      <c r="A140" s="687"/>
      <c r="B140" s="691"/>
      <c r="C140" s="690"/>
      <c r="D140" s="749" t="s">
        <v>639</v>
      </c>
      <c r="E140" s="730" t="s">
        <v>640</v>
      </c>
      <c r="F140" s="885"/>
      <c r="G140" s="885"/>
    </row>
    <row r="141" spans="1:7" ht="27" hidden="1" customHeight="1">
      <c r="A141" s="687"/>
      <c r="B141" s="691"/>
      <c r="C141" s="690"/>
      <c r="D141" s="749" t="s">
        <v>641</v>
      </c>
      <c r="E141" s="730" t="s">
        <v>642</v>
      </c>
      <c r="F141" s="885"/>
      <c r="G141" s="885"/>
    </row>
    <row r="142" spans="1:7" ht="27" hidden="1" customHeight="1">
      <c r="A142" s="687"/>
      <c r="B142" s="691"/>
      <c r="C142" s="690"/>
      <c r="D142" s="749" t="s">
        <v>643</v>
      </c>
      <c r="E142" s="730" t="s">
        <v>644</v>
      </c>
      <c r="F142" s="885"/>
      <c r="G142" s="885"/>
    </row>
    <row r="143" spans="1:7" ht="27" hidden="1" customHeight="1" thickBot="1">
      <c r="A143" s="687"/>
      <c r="B143" s="691"/>
      <c r="C143" s="685"/>
      <c r="D143" s="646" t="s">
        <v>645</v>
      </c>
      <c r="E143" s="748" t="s">
        <v>646</v>
      </c>
      <c r="F143" s="894"/>
      <c r="G143" s="894"/>
    </row>
    <row r="144" spans="1:7" ht="27" hidden="1" customHeight="1">
      <c r="A144" s="687"/>
      <c r="B144" s="691"/>
      <c r="C144" s="643" t="s">
        <v>647</v>
      </c>
      <c r="D144" s="643"/>
      <c r="E144" s="759">
        <v>7376</v>
      </c>
      <c r="F144" s="885"/>
      <c r="G144" s="885"/>
    </row>
    <row r="145" spans="1:7" ht="27" hidden="1" customHeight="1">
      <c r="A145" s="687"/>
      <c r="B145" s="691"/>
      <c r="C145" s="643" t="s">
        <v>648</v>
      </c>
      <c r="D145" s="643"/>
      <c r="E145" s="759">
        <v>7377</v>
      </c>
      <c r="F145" s="885"/>
      <c r="G145" s="885"/>
    </row>
    <row r="146" spans="1:7" ht="27" hidden="1" customHeight="1">
      <c r="A146" s="687"/>
      <c r="B146" s="691"/>
      <c r="C146" s="643" t="s">
        <v>649</v>
      </c>
      <c r="D146" s="643"/>
      <c r="E146" s="759">
        <v>7378</v>
      </c>
      <c r="F146" s="885"/>
      <c r="G146" s="885"/>
    </row>
    <row r="147" spans="1:7" ht="27" hidden="1" customHeight="1" thickBot="1">
      <c r="A147" s="681"/>
      <c r="B147" s="680"/>
      <c r="C147" s="658" t="s">
        <v>650</v>
      </c>
      <c r="D147" s="658"/>
      <c r="E147" s="678">
        <v>7379</v>
      </c>
      <c r="F147" s="887"/>
      <c r="G147" s="887"/>
    </row>
    <row r="148" spans="1:7" ht="27" hidden="1" customHeight="1" thickTop="1" thickBot="1">
      <c r="A148" s="838" t="s">
        <v>651</v>
      </c>
      <c r="B148" s="839"/>
      <c r="C148" s="840"/>
      <c r="D148" s="841"/>
      <c r="E148" s="723">
        <v>74</v>
      </c>
      <c r="F148" s="888">
        <f>SUM(F149+F150+F151+F152+F160)</f>
        <v>0</v>
      </c>
      <c r="G148" s="888">
        <f>SUM(G149+G150+G151+G152+G160)</f>
        <v>0</v>
      </c>
    </row>
    <row r="149" spans="1:7" ht="27" hidden="1" customHeight="1" thickBot="1">
      <c r="A149" s="842"/>
      <c r="B149" s="843" t="s">
        <v>652</v>
      </c>
      <c r="C149" s="844"/>
      <c r="D149" s="845"/>
      <c r="E149" s="819">
        <v>741</v>
      </c>
      <c r="F149" s="895"/>
      <c r="G149" s="895"/>
    </row>
    <row r="150" spans="1:7" ht="27" hidden="1" customHeight="1" thickBot="1">
      <c r="A150" s="846"/>
      <c r="B150" s="847" t="s">
        <v>653</v>
      </c>
      <c r="C150" s="848"/>
      <c r="D150" s="849"/>
      <c r="E150" s="819">
        <v>742</v>
      </c>
      <c r="F150" s="895"/>
      <c r="G150" s="895"/>
    </row>
    <row r="151" spans="1:7" ht="27" hidden="1" customHeight="1" thickBot="1">
      <c r="A151" s="846"/>
      <c r="B151" s="847" t="s">
        <v>654</v>
      </c>
      <c r="C151" s="848"/>
      <c r="D151" s="849"/>
      <c r="E151" s="812">
        <v>743</v>
      </c>
      <c r="F151" s="1168"/>
      <c r="G151" s="1168"/>
    </row>
    <row r="152" spans="1:7" ht="27" hidden="1" customHeight="1" thickBot="1">
      <c r="A152" s="687"/>
      <c r="B152" s="691" t="s">
        <v>655</v>
      </c>
      <c r="C152" s="772"/>
      <c r="D152" s="749"/>
      <c r="E152" s="812">
        <v>744</v>
      </c>
      <c r="F152" s="1160">
        <f>SUM(F153+F159)</f>
        <v>0</v>
      </c>
      <c r="G152" s="1160">
        <f>SUM(G153+G159)</f>
        <v>0</v>
      </c>
    </row>
    <row r="153" spans="1:7" ht="27" hidden="1" customHeight="1">
      <c r="A153" s="687"/>
      <c r="B153" s="691"/>
      <c r="C153" s="695" t="s">
        <v>656</v>
      </c>
      <c r="D153" s="815"/>
      <c r="E153" s="693">
        <v>7442</v>
      </c>
      <c r="F153" s="889">
        <f>SUM(F154+F155+F156+F157+F158)</f>
        <v>0</v>
      </c>
      <c r="G153" s="889">
        <f>SUM(G154+G155+G156+G157+G158)</f>
        <v>0</v>
      </c>
    </row>
    <row r="154" spans="1:7" ht="27" hidden="1" customHeight="1">
      <c r="A154" s="687"/>
      <c r="B154" s="691"/>
      <c r="C154" s="690"/>
      <c r="D154" s="749" t="s">
        <v>657</v>
      </c>
      <c r="E154" s="699">
        <v>74420</v>
      </c>
      <c r="F154" s="885"/>
      <c r="G154" s="885"/>
    </row>
    <row r="155" spans="1:7" ht="27" hidden="1" customHeight="1">
      <c r="A155" s="687"/>
      <c r="B155" s="691"/>
      <c r="C155" s="690"/>
      <c r="D155" s="749" t="s">
        <v>658</v>
      </c>
      <c r="E155" s="699">
        <v>74421</v>
      </c>
      <c r="F155" s="885"/>
      <c r="G155" s="885"/>
    </row>
    <row r="156" spans="1:7" ht="27" hidden="1" customHeight="1">
      <c r="A156" s="687"/>
      <c r="B156" s="691"/>
      <c r="C156" s="690"/>
      <c r="D156" s="749" t="s">
        <v>659</v>
      </c>
      <c r="E156" s="699">
        <v>74422</v>
      </c>
      <c r="F156" s="885"/>
      <c r="G156" s="885"/>
    </row>
    <row r="157" spans="1:7" ht="27" hidden="1" customHeight="1">
      <c r="A157" s="687"/>
      <c r="B157" s="691"/>
      <c r="C157" s="690"/>
      <c r="D157" s="749" t="s">
        <v>660</v>
      </c>
      <c r="E157" s="699">
        <v>74423</v>
      </c>
      <c r="F157" s="885"/>
      <c r="G157" s="885"/>
    </row>
    <row r="158" spans="1:7" ht="27" hidden="1" customHeight="1" thickBot="1">
      <c r="A158" s="687"/>
      <c r="B158" s="691"/>
      <c r="C158" s="685"/>
      <c r="D158" s="646" t="s">
        <v>661</v>
      </c>
      <c r="E158" s="754">
        <v>74424</v>
      </c>
      <c r="F158" s="894"/>
      <c r="G158" s="894"/>
    </row>
    <row r="159" spans="1:7" ht="27" hidden="1" customHeight="1" thickBot="1">
      <c r="A159" s="687"/>
      <c r="B159" s="686"/>
      <c r="C159" s="813" t="s">
        <v>662</v>
      </c>
      <c r="D159" s="813"/>
      <c r="E159" s="814">
        <v>7449</v>
      </c>
      <c r="F159" s="1161"/>
      <c r="G159" s="1161"/>
    </row>
    <row r="160" spans="1:7" ht="27" hidden="1" customHeight="1" thickBot="1">
      <c r="A160" s="681"/>
      <c r="B160" s="820" t="s">
        <v>663</v>
      </c>
      <c r="C160" s="821"/>
      <c r="D160" s="822"/>
      <c r="E160" s="823">
        <v>749</v>
      </c>
      <c r="F160" s="1162"/>
      <c r="G160" s="1162"/>
    </row>
    <row r="161" spans="1:8" ht="27" hidden="1" customHeight="1" thickTop="1" thickBot="1">
      <c r="A161" s="838" t="s">
        <v>664</v>
      </c>
      <c r="B161" s="850"/>
      <c r="C161" s="840"/>
      <c r="D161" s="851"/>
      <c r="E161" s="852">
        <v>75</v>
      </c>
      <c r="F161" s="1169">
        <v>0</v>
      </c>
      <c r="G161" s="1169">
        <v>0</v>
      </c>
      <c r="H161" s="853"/>
    </row>
    <row r="162" spans="1:8" ht="27" hidden="1" customHeight="1" thickTop="1" thickBot="1">
      <c r="A162" s="854" t="s">
        <v>665</v>
      </c>
      <c r="B162" s="850"/>
      <c r="C162" s="840"/>
      <c r="D162" s="855"/>
      <c r="E162" s="852">
        <v>76</v>
      </c>
      <c r="F162" s="1169">
        <v>0</v>
      </c>
      <c r="G162" s="1169">
        <v>0</v>
      </c>
      <c r="H162" s="853"/>
    </row>
    <row r="163" spans="1:8" ht="30" customHeight="1" thickTop="1" thickBot="1">
      <c r="A163" s="1201" t="s">
        <v>666</v>
      </c>
      <c r="B163" s="1202"/>
      <c r="C163" s="1202"/>
      <c r="D163" s="1203"/>
      <c r="E163" s="856" t="s">
        <v>667</v>
      </c>
      <c r="F163" s="1170">
        <f>F7+F161+F162</f>
        <v>257050</v>
      </c>
      <c r="G163" s="1170">
        <f>G7+G161+G162</f>
        <v>290450</v>
      </c>
    </row>
    <row r="164" spans="1:8" ht="22.2" customHeight="1" thickTop="1">
      <c r="A164" s="758"/>
      <c r="B164" s="758"/>
      <c r="C164" s="758"/>
      <c r="D164" s="758"/>
      <c r="E164" s="758"/>
      <c r="F164" s="758"/>
      <c r="G164" s="758"/>
    </row>
    <row r="165" spans="1:8" ht="22.2" customHeight="1" thickBot="1">
      <c r="A165" s="758"/>
      <c r="B165" s="758"/>
      <c r="C165" s="758"/>
      <c r="D165" s="758"/>
      <c r="E165" s="758"/>
      <c r="F165" s="758"/>
      <c r="G165" s="758"/>
    </row>
    <row r="166" spans="1:8" ht="30" customHeight="1" thickTop="1" thickBot="1">
      <c r="A166" s="1204" t="s">
        <v>668</v>
      </c>
      <c r="B166" s="1205"/>
      <c r="C166" s="1205"/>
      <c r="D166" s="1205"/>
      <c r="E166" s="857"/>
      <c r="F166" s="652">
        <f>F5</f>
        <v>2024</v>
      </c>
      <c r="G166" s="652">
        <f>G5</f>
        <v>2025</v>
      </c>
    </row>
    <row r="167" spans="1:8" ht="22.2" customHeight="1" thickTop="1" thickBot="1">
      <c r="A167" s="1206" t="s">
        <v>669</v>
      </c>
      <c r="B167" s="1207"/>
      <c r="C167" s="1207"/>
      <c r="D167" s="1207"/>
      <c r="E167" s="858"/>
      <c r="F167" s="1171">
        <f>F163-Charges!F218</f>
        <v>18300</v>
      </c>
      <c r="G167" s="1172">
        <f>G163-Charges!G218</f>
        <v>-18300</v>
      </c>
      <c r="H167" s="1118"/>
    </row>
    <row r="168" spans="1:8" ht="22.2" customHeight="1" thickTop="1">
      <c r="A168" s="758"/>
      <c r="B168" s="758"/>
      <c r="C168" s="758"/>
      <c r="D168" s="758"/>
      <c r="E168" s="758"/>
      <c r="F168" s="758"/>
      <c r="G168" s="758"/>
    </row>
    <row r="169" spans="1:8" ht="22.2" customHeight="1" thickBot="1">
      <c r="A169" s="758"/>
      <c r="B169" s="758"/>
      <c r="C169" s="758"/>
      <c r="D169" s="758"/>
      <c r="E169" s="758"/>
      <c r="F169" s="758"/>
      <c r="G169" s="758"/>
    </row>
    <row r="170" spans="1:8" ht="30" customHeight="1" thickTop="1" thickBot="1">
      <c r="A170" s="1186" t="s">
        <v>670</v>
      </c>
      <c r="B170" s="1208"/>
      <c r="C170" s="1208"/>
      <c r="D170" s="1208"/>
      <c r="E170" s="1209"/>
      <c r="F170" s="1142">
        <f>F5</f>
        <v>2024</v>
      </c>
      <c r="G170" s="1142">
        <f>G5</f>
        <v>2025</v>
      </c>
      <c r="H170" s="859"/>
    </row>
    <row r="171" spans="1:8" ht="27" customHeight="1" thickTop="1" thickBot="1">
      <c r="A171" s="1190" t="s">
        <v>671</v>
      </c>
      <c r="B171" s="1191"/>
      <c r="C171" s="1191"/>
      <c r="D171" s="1191"/>
      <c r="E171" s="1192"/>
      <c r="F171" s="1173">
        <f>F96+F124</f>
        <v>146100</v>
      </c>
      <c r="G171" s="1173">
        <f>G96+G124</f>
        <v>146100</v>
      </c>
      <c r="H171" s="860"/>
    </row>
    <row r="172" spans="1:8" ht="27" customHeight="1" thickTop="1" thickBot="1">
      <c r="A172" s="1193" t="s">
        <v>672</v>
      </c>
      <c r="B172" s="1194"/>
      <c r="C172" s="1194"/>
      <c r="D172" s="1194"/>
      <c r="E172" s="1195"/>
      <c r="F172" s="861">
        <f>F171/F163</f>
        <v>0.568371912079362</v>
      </c>
      <c r="G172" s="861">
        <f>G171/G163</f>
        <v>0.50301256670683425</v>
      </c>
      <c r="H172" s="860"/>
    </row>
    <row r="173" spans="1:8" ht="27" customHeight="1" thickTop="1" thickBot="1">
      <c r="A173" s="1190" t="s">
        <v>673</v>
      </c>
      <c r="B173" s="1191"/>
      <c r="C173" s="1191"/>
      <c r="D173" s="1191"/>
      <c r="E173" s="1192"/>
      <c r="F173" s="1173">
        <f>F163-F171</f>
        <v>110950</v>
      </c>
      <c r="G173" s="1173">
        <f>G163-G171</f>
        <v>144350</v>
      </c>
      <c r="H173" s="860"/>
    </row>
    <row r="174" spans="1:8" ht="27" customHeight="1" thickTop="1" thickBot="1">
      <c r="A174" s="1196" t="s">
        <v>674</v>
      </c>
      <c r="B174" s="1197"/>
      <c r="C174" s="1197"/>
      <c r="D174" s="1197"/>
      <c r="E174" s="1198"/>
      <c r="F174" s="862">
        <f>F173/F163</f>
        <v>0.431628087920638</v>
      </c>
      <c r="G174" s="862">
        <f>G173/G163</f>
        <v>0.4969874332931658</v>
      </c>
      <c r="H174" s="860"/>
    </row>
    <row r="175" spans="1:8" ht="13.8" thickTop="1"/>
    <row r="177" spans="5:8">
      <c r="F177" s="1085">
        <v>2024</v>
      </c>
      <c r="G177" s="1085">
        <v>2025</v>
      </c>
    </row>
    <row r="178" spans="5:8">
      <c r="E178" s="1088" t="s">
        <v>845</v>
      </c>
      <c r="F178" s="1089">
        <f>F137</f>
        <v>87000</v>
      </c>
      <c r="G178" s="1089">
        <f>G137</f>
        <v>87000</v>
      </c>
    </row>
    <row r="179" spans="5:8">
      <c r="E179" s="1088" t="s">
        <v>846</v>
      </c>
      <c r="F179" s="1089">
        <f>F134</f>
        <v>59100</v>
      </c>
      <c r="G179" s="1089">
        <f>G134</f>
        <v>59100</v>
      </c>
    </row>
    <row r="180" spans="5:8">
      <c r="E180" s="1090" t="s">
        <v>837</v>
      </c>
      <c r="F180" s="1091">
        <f>F40</f>
        <v>10000</v>
      </c>
      <c r="G180" s="1091">
        <f>G40</f>
        <v>30000</v>
      </c>
    </row>
    <row r="181" spans="5:8">
      <c r="E181" s="1092" t="s">
        <v>673</v>
      </c>
      <c r="F181" s="1093">
        <f>F15+F49+F78</f>
        <v>100950</v>
      </c>
      <c r="G181" s="1093">
        <f>G15+G49+G78</f>
        <v>114350</v>
      </c>
    </row>
    <row r="182" spans="5:8">
      <c r="F182" s="1087">
        <f>SUM(F178:F181)</f>
        <v>257050</v>
      </c>
      <c r="G182" s="1087">
        <f>SUM(G178:G181)</f>
        <v>290450</v>
      </c>
    </row>
    <row r="189" spans="5:8">
      <c r="H189" s="706"/>
    </row>
  </sheetData>
  <mergeCells count="16">
    <mergeCell ref="C34:D34"/>
    <mergeCell ref="A1:G1"/>
    <mergeCell ref="C30:D30"/>
    <mergeCell ref="C31:D31"/>
    <mergeCell ref="C32:D32"/>
    <mergeCell ref="C33:D33"/>
    <mergeCell ref="A171:E171"/>
    <mergeCell ref="A172:E172"/>
    <mergeCell ref="A173:E173"/>
    <mergeCell ref="A174:E174"/>
    <mergeCell ref="C46:D46"/>
    <mergeCell ref="C47:D47"/>
    <mergeCell ref="A163:D163"/>
    <mergeCell ref="A166:D166"/>
    <mergeCell ref="A167:D167"/>
    <mergeCell ref="A170:E170"/>
  </mergeCells>
  <dataValidations count="2">
    <dataValidation type="list" allowBlank="1" showInputMessage="1" showErrorMessage="1" sqref="F5" xr:uid="{501AB724-1E59-4B18-BBA0-5257C772CDD2}">
      <formula1>"2024,2023-2024,Exercice 1"</formula1>
    </dataValidation>
    <dataValidation type="list" allowBlank="1" showInputMessage="1" showErrorMessage="1" sqref="G5" xr:uid="{802D8EA9-58CA-4E5F-B151-BB1920F98B53}">
      <formula1>"2025,2024-2025,Exercice 2"</formula1>
    </dataValidation>
  </dataValidations>
  <pageMargins left="0.70866141732283472" right="0.70866141732283472" top="0.74803149606299213" bottom="0.7480314960629921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ED956-44B0-4392-B918-B69475F851E2}">
  <sheetPr>
    <tabColor theme="5"/>
    <pageSetUpPr fitToPage="1"/>
  </sheetPr>
  <dimension ref="A1:AC51"/>
  <sheetViews>
    <sheetView topLeftCell="A4" workbookViewId="0">
      <selection activeCell="N14" sqref="N14"/>
    </sheetView>
    <sheetView workbookViewId="1">
      <selection activeCell="N13" sqref="N13"/>
    </sheetView>
  </sheetViews>
  <sheetFormatPr baseColWidth="10" defaultRowHeight="13.2"/>
  <cols>
    <col min="1" max="1" width="13.5546875" style="937" bestFit="1" customWidth="1"/>
    <col min="2" max="2" width="33.5546875" style="937" bestFit="1" customWidth="1"/>
    <col min="3" max="3" width="15.109375" style="1034" hidden="1" customWidth="1"/>
    <col min="4" max="5" width="15.109375" style="937" bestFit="1" customWidth="1"/>
    <col min="6" max="8" width="15.109375" style="1014" hidden="1" customWidth="1"/>
    <col min="9" max="9" width="12.5546875" style="937" hidden="1" customWidth="1"/>
    <col min="10" max="10" width="12.5546875" style="937" customWidth="1"/>
    <col min="11" max="11" width="37.77734375" style="937" bestFit="1" customWidth="1"/>
    <col min="12" max="12" width="15.109375" style="1034" hidden="1" customWidth="1"/>
    <col min="13" max="14" width="13.33203125" style="937" bestFit="1" customWidth="1"/>
    <col min="15" max="17" width="13.33203125" style="1014" hidden="1" customWidth="1"/>
    <col min="18" max="18" width="12.5546875" style="937" hidden="1" customWidth="1"/>
    <col min="19" max="20" width="11.5546875" style="937"/>
    <col min="21" max="21" width="15" style="937" customWidth="1"/>
    <col min="22" max="22" width="11.5546875" style="937"/>
    <col min="23" max="23" width="12.33203125" style="937" bestFit="1" customWidth="1"/>
    <col min="24" max="28" width="11.5546875" style="937"/>
    <col min="29" max="29" width="15" style="937" customWidth="1"/>
    <col min="30" max="30" width="11.5546875" style="937"/>
    <col min="31" max="31" width="12.33203125" style="937" bestFit="1" customWidth="1"/>
    <col min="32" max="16384" width="11.5546875" style="937"/>
  </cols>
  <sheetData>
    <row r="1" spans="1:19" ht="13.8" thickBot="1"/>
    <row r="2" spans="1:19" s="1051" customFormat="1" ht="31.8" thickBot="1">
      <c r="B2" s="1040" t="s">
        <v>830</v>
      </c>
      <c r="C2" s="1041">
        <v>2023</v>
      </c>
      <c r="D2" s="1042">
        <v>2024</v>
      </c>
      <c r="E2" s="1042">
        <v>2025</v>
      </c>
      <c r="F2" s="1043">
        <v>2026</v>
      </c>
      <c r="G2" s="1043">
        <v>2027</v>
      </c>
      <c r="H2" s="1044">
        <v>2028</v>
      </c>
      <c r="I2" s="1040" t="s">
        <v>705</v>
      </c>
      <c r="J2" s="1081"/>
      <c r="K2" s="1040" t="s">
        <v>831</v>
      </c>
      <c r="L2" s="1047">
        <v>2023</v>
      </c>
      <c r="M2" s="1048">
        <v>2024</v>
      </c>
      <c r="N2" s="1048">
        <v>2025</v>
      </c>
      <c r="O2" s="1049">
        <v>2026</v>
      </c>
      <c r="P2" s="1049">
        <v>2027</v>
      </c>
      <c r="Q2" s="1050">
        <v>2028</v>
      </c>
      <c r="R2" s="1040" t="s">
        <v>705</v>
      </c>
      <c r="S2" s="1079"/>
    </row>
    <row r="3" spans="1:19">
      <c r="B3" s="938"/>
      <c r="C3" s="1018"/>
      <c r="D3" s="938"/>
      <c r="E3" s="939"/>
      <c r="F3" s="1018"/>
      <c r="G3" s="1018"/>
      <c r="H3" s="1019"/>
      <c r="I3" s="1075"/>
      <c r="J3" s="1082"/>
      <c r="K3" s="938"/>
      <c r="L3" s="1018"/>
      <c r="M3" s="941"/>
      <c r="N3" s="939"/>
      <c r="O3" s="1018"/>
      <c r="P3" s="1018"/>
      <c r="Q3" s="1019"/>
      <c r="R3" s="1075"/>
      <c r="S3" s="1080"/>
    </row>
    <row r="4" spans="1:19">
      <c r="B4" s="942" t="s">
        <v>150</v>
      </c>
      <c r="C4" s="1020"/>
      <c r="D4" s="942"/>
      <c r="E4" s="943"/>
      <c r="F4" s="1020"/>
      <c r="G4" s="1020"/>
      <c r="H4" s="1021"/>
      <c r="I4" s="1076"/>
      <c r="J4" s="1083"/>
      <c r="K4" s="942" t="s">
        <v>706</v>
      </c>
      <c r="L4" s="1020"/>
      <c r="M4" s="941"/>
      <c r="N4" s="939"/>
      <c r="O4" s="1018"/>
      <c r="P4" s="1018"/>
      <c r="Q4" s="1019"/>
      <c r="R4" s="1076"/>
      <c r="S4" s="1080"/>
    </row>
    <row r="5" spans="1:19">
      <c r="B5" s="1055" t="s">
        <v>812</v>
      </c>
      <c r="C5" s="1035">
        <f>'Budget simplifié'!C5</f>
        <v>30000</v>
      </c>
      <c r="D5" s="965">
        <f>'Budget simplifié'!D5</f>
        <v>0</v>
      </c>
      <c r="E5" s="965">
        <f>'Budget simplifié'!E5</f>
        <v>0</v>
      </c>
      <c r="F5" s="1020">
        <f>'Budget simplifié'!F5</f>
        <v>0</v>
      </c>
      <c r="G5" s="1020">
        <f>'Budget simplifié'!G5</f>
        <v>0</v>
      </c>
      <c r="H5" s="1021">
        <f>'Budget simplifié'!H5</f>
        <v>0</v>
      </c>
      <c r="I5" s="1075"/>
      <c r="J5" s="1082"/>
      <c r="K5" s="946" t="s">
        <v>716</v>
      </c>
      <c r="L5" s="1035">
        <f>'Budget simplifié'!L5</f>
        <v>22700</v>
      </c>
      <c r="M5" s="941">
        <f>'Budget simplifié'!M5-Charges!F159</f>
        <v>0</v>
      </c>
      <c r="N5" s="941">
        <f>'Budget simplifié'!N5-Charges!G159</f>
        <v>0</v>
      </c>
      <c r="O5" s="1028">
        <f>'Budget simplifié'!O5</f>
        <v>27050.400000000001</v>
      </c>
      <c r="P5" s="1028">
        <f>'Budget simplifié'!P5</f>
        <v>27591.408000000003</v>
      </c>
      <c r="Q5" s="1029">
        <f>'Budget simplifié'!Q5</f>
        <v>28143.236160000004</v>
      </c>
      <c r="R5" s="1075"/>
      <c r="S5" s="1080"/>
    </row>
    <row r="6" spans="1:19">
      <c r="B6" s="1055" t="s">
        <v>808</v>
      </c>
      <c r="C6" s="1035">
        <f>'Budget simplifié'!C6</f>
        <v>30000</v>
      </c>
      <c r="D6" s="965">
        <f>'Budget simplifié'!D6</f>
        <v>0</v>
      </c>
      <c r="E6" s="965">
        <f>'Budget simplifié'!E6</f>
        <v>0</v>
      </c>
      <c r="F6" s="1020">
        <f>'Budget simplifié'!F6</f>
        <v>0</v>
      </c>
      <c r="G6" s="1020">
        <f>'Budget simplifié'!G6</f>
        <v>0</v>
      </c>
      <c r="H6" s="1021">
        <f>'Budget simplifié'!H6</f>
        <v>0</v>
      </c>
      <c r="I6" s="1075"/>
      <c r="J6" s="1082"/>
      <c r="K6" s="946" t="s">
        <v>717</v>
      </c>
      <c r="L6" s="1035">
        <f>'Budget simplifié'!L6</f>
        <v>22700</v>
      </c>
      <c r="M6" s="941">
        <f>'Budget simplifié'!M6-Charges!F162</f>
        <v>0</v>
      </c>
      <c r="N6" s="941">
        <f>'Budget simplifié'!N6-Charges!G162</f>
        <v>0</v>
      </c>
      <c r="O6" s="1028">
        <f>'Budget simplifié'!O6</f>
        <v>27050.400000000001</v>
      </c>
      <c r="P6" s="1028">
        <f>'Budget simplifié'!P6</f>
        <v>27591.408000000003</v>
      </c>
      <c r="Q6" s="1029">
        <f>'Budget simplifié'!Q6</f>
        <v>28143.236160000004</v>
      </c>
      <c r="R6" s="1075"/>
      <c r="S6" s="1080"/>
    </row>
    <row r="7" spans="1:19">
      <c r="B7" s="945" t="s">
        <v>811</v>
      </c>
      <c r="C7" s="1034">
        <f>'Budget simplifié'!C7</f>
        <v>0</v>
      </c>
      <c r="D7" s="939">
        <f>'Budget simplifié'!D7-Produits!F137</f>
        <v>0</v>
      </c>
      <c r="E7" s="939">
        <f>'Budget simplifié'!E7-Produits!G137</f>
        <v>0</v>
      </c>
      <c r="F7" s="1018">
        <f>'Budget simplifié'!F7</f>
        <v>87000</v>
      </c>
      <c r="G7" s="1018">
        <f>'Budget simplifié'!G7</f>
        <v>87000</v>
      </c>
      <c r="H7" s="1019">
        <f>'Budget simplifié'!H7</f>
        <v>87000</v>
      </c>
      <c r="I7" s="1077">
        <f>SUM(D9:E9)</f>
        <v>292200</v>
      </c>
      <c r="J7" s="1082"/>
      <c r="K7" s="947" t="s">
        <v>718</v>
      </c>
      <c r="L7" s="1035">
        <f>'Budget simplifié'!L7</f>
        <v>45450</v>
      </c>
      <c r="M7" s="948">
        <f>'Budget simplifié'!M7-Charges!F168-Charges!F200</f>
        <v>0</v>
      </c>
      <c r="N7" s="948">
        <f>'Budget simplifié'!N7-Charges!G168-Charges!G200</f>
        <v>0</v>
      </c>
      <c r="O7" s="1018">
        <f>'Budget simplifié'!O7</f>
        <v>54100.800000000003</v>
      </c>
      <c r="P7" s="1018">
        <f>'Budget simplifié'!P7</f>
        <v>55182.816000000006</v>
      </c>
      <c r="Q7" s="1019">
        <f>'Budget simplifié'!Q7</f>
        <v>56286.472320000008</v>
      </c>
      <c r="R7" s="1075"/>
      <c r="S7" s="1080"/>
    </row>
    <row r="8" spans="1:19">
      <c r="B8" s="945" t="s">
        <v>711</v>
      </c>
      <c r="C8" s="1035">
        <f>'Budget simplifié'!C8</f>
        <v>56000</v>
      </c>
      <c r="D8" s="939">
        <f>'Budget simplifié'!D8-Produits!F134</f>
        <v>0</v>
      </c>
      <c r="E8" s="939">
        <f>'Budget simplifié'!E8-Produits!G134</f>
        <v>0</v>
      </c>
      <c r="F8" s="1018">
        <f>'Budget simplifié'!F8</f>
        <v>59100</v>
      </c>
      <c r="G8" s="1018">
        <f>'Budget simplifié'!G8</f>
        <v>59100</v>
      </c>
      <c r="H8" s="1019">
        <f>'Budget simplifié'!H8</f>
        <v>59100</v>
      </c>
      <c r="I8" s="1075"/>
      <c r="J8" s="1082"/>
      <c r="K8" s="946" t="s">
        <v>54</v>
      </c>
      <c r="L8" s="1035">
        <f>'Budget simplifié'!L8</f>
        <v>0</v>
      </c>
      <c r="M8" s="941">
        <f>'Budget simplifié'!M8-Charges!F169-Charges!F149</f>
        <v>0</v>
      </c>
      <c r="N8" s="941">
        <f>'Budget simplifié'!N8-Charges!G169-Charges!G149</f>
        <v>0</v>
      </c>
      <c r="O8" s="1028">
        <f>'Budget simplifié'!O8</f>
        <v>23929.200000000001</v>
      </c>
      <c r="P8" s="1028">
        <f>'Budget simplifié'!P8</f>
        <v>24407.784</v>
      </c>
      <c r="Q8" s="1029">
        <f>'Budget simplifié'!Q8</f>
        <v>24895.939679999999</v>
      </c>
      <c r="R8" s="1075"/>
      <c r="S8" s="1080"/>
    </row>
    <row r="9" spans="1:19">
      <c r="A9" s="937" t="s">
        <v>820</v>
      </c>
      <c r="B9" s="949" t="s">
        <v>93</v>
      </c>
      <c r="C9" s="1015">
        <f>'Budget simplifié'!C9</f>
        <v>116000</v>
      </c>
      <c r="D9" s="950">
        <f>'Budget simplifié'!D9</f>
        <v>146100</v>
      </c>
      <c r="E9" s="950">
        <f>'Budget simplifié'!E9</f>
        <v>146100</v>
      </c>
      <c r="F9" s="1015">
        <f>'Budget simplifié'!F9</f>
        <v>146100</v>
      </c>
      <c r="G9" s="1015">
        <f>'Budget simplifié'!G9</f>
        <v>146100</v>
      </c>
      <c r="H9" s="1022">
        <f>'Budget simplifié'!H9</f>
        <v>146100</v>
      </c>
      <c r="I9" s="1076"/>
      <c r="J9" s="1082"/>
      <c r="K9" s="946" t="s">
        <v>815</v>
      </c>
      <c r="L9" s="1035">
        <f>'Budget simplifié'!L9</f>
        <v>30000</v>
      </c>
      <c r="M9" s="941">
        <f>'Budget simplifié'!M9</f>
        <v>0</v>
      </c>
      <c r="N9" s="941">
        <f>'Budget simplifié'!N9</f>
        <v>0</v>
      </c>
      <c r="O9" s="1028">
        <f>'Budget simplifié'!O9</f>
        <v>0</v>
      </c>
      <c r="P9" s="1028">
        <f>'Budget simplifié'!P9</f>
        <v>0</v>
      </c>
      <c r="Q9" s="1029">
        <f>'Budget simplifié'!Q9</f>
        <v>0</v>
      </c>
      <c r="R9" s="1075"/>
      <c r="S9" s="1080"/>
    </row>
    <row r="10" spans="1:19">
      <c r="B10" s="953"/>
      <c r="C10" s="1018">
        <f>'Budget simplifié'!C10</f>
        <v>0</v>
      </c>
      <c r="D10" s="939"/>
      <c r="E10" s="939"/>
      <c r="F10" s="1018">
        <f>'Budget simplifié'!F10</f>
        <v>0</v>
      </c>
      <c r="G10" s="1018">
        <f>'Budget simplifié'!G10</f>
        <v>0</v>
      </c>
      <c r="H10" s="1019">
        <f>'Budget simplifié'!H10</f>
        <v>0</v>
      </c>
      <c r="I10" s="1075"/>
      <c r="J10" s="1082"/>
      <c r="K10" s="946" t="s">
        <v>806</v>
      </c>
      <c r="L10" s="1035">
        <f>'Budget simplifié'!L10</f>
        <v>4000</v>
      </c>
      <c r="M10" s="941">
        <f>'Budget simplifié'!M10</f>
        <v>0</v>
      </c>
      <c r="N10" s="941">
        <f>'Budget simplifié'!N10</f>
        <v>0</v>
      </c>
      <c r="O10" s="1028">
        <f>'Budget simplifié'!O10</f>
        <v>0</v>
      </c>
      <c r="P10" s="1028">
        <f>'Budget simplifié'!P10</f>
        <v>0</v>
      </c>
      <c r="Q10" s="1029">
        <f>'Budget simplifié'!Q10</f>
        <v>0</v>
      </c>
      <c r="R10" s="1075"/>
      <c r="S10" s="1080"/>
    </row>
    <row r="11" spans="1:19">
      <c r="B11" s="954" t="s">
        <v>809</v>
      </c>
      <c r="C11" s="1036">
        <f>'Budget simplifié'!C11</f>
        <v>0</v>
      </c>
      <c r="D11" s="943"/>
      <c r="E11" s="943"/>
      <c r="F11" s="1020">
        <f>'Budget simplifié'!F11</f>
        <v>0</v>
      </c>
      <c r="G11" s="1020">
        <f>'Budget simplifié'!G11</f>
        <v>0</v>
      </c>
      <c r="H11" s="1021">
        <f>'Budget simplifié'!H11</f>
        <v>0</v>
      </c>
      <c r="I11" s="1075"/>
      <c r="J11" s="1082"/>
      <c r="K11" s="946" t="s">
        <v>805</v>
      </c>
      <c r="L11" s="1035">
        <f>'Budget simplifié'!L11</f>
        <v>5000</v>
      </c>
      <c r="M11" s="941">
        <f>'Budget simplifié'!M11</f>
        <v>0</v>
      </c>
      <c r="N11" s="941">
        <f>'Budget simplifié'!N11</f>
        <v>0</v>
      </c>
      <c r="O11" s="1028">
        <f>'Budget simplifié'!O11</f>
        <v>0</v>
      </c>
      <c r="P11" s="1028">
        <f>'Budget simplifié'!P11</f>
        <v>0</v>
      </c>
      <c r="Q11" s="1029">
        <f>'Budget simplifié'!Q11</f>
        <v>0</v>
      </c>
      <c r="R11" s="1075"/>
      <c r="S11" s="1080"/>
    </row>
    <row r="12" spans="1:19">
      <c r="B12" s="1053" t="s">
        <v>814</v>
      </c>
      <c r="C12" s="1035">
        <f>'Budget simplifié'!C12</f>
        <v>25000</v>
      </c>
      <c r="D12" s="943">
        <f>'Budget simplifié'!D12</f>
        <v>0</v>
      </c>
      <c r="E12" s="943">
        <f>'Budget simplifié'!E12</f>
        <v>0</v>
      </c>
      <c r="F12" s="1020">
        <f>'Budget simplifié'!F12</f>
        <v>0</v>
      </c>
      <c r="G12" s="1020">
        <f>'Budget simplifié'!G12</f>
        <v>0</v>
      </c>
      <c r="H12" s="1021">
        <f>'Budget simplifié'!H12</f>
        <v>0</v>
      </c>
      <c r="I12" s="1075"/>
      <c r="J12" s="1083"/>
      <c r="K12" s="946" t="s">
        <v>766</v>
      </c>
      <c r="L12" s="1035">
        <f>'Budget simplifié'!L12</f>
        <v>0</v>
      </c>
      <c r="M12" s="941">
        <f>'Budget simplifié'!M12-Charges!F182-Charges!F172-Charges!F125-Charges!F191-Charges!F195</f>
        <v>0</v>
      </c>
      <c r="N12" s="941">
        <f>'Budget simplifié'!N12-Charges!G182-Charges!G172-Charges!G125-Charges!G191-Charges!G195</f>
        <v>1.5384615326183848E-3</v>
      </c>
      <c r="O12" s="1028">
        <f>'Budget simplifié'!O12</f>
        <v>0</v>
      </c>
      <c r="P12" s="1028">
        <f>'Budget simplifié'!P12</f>
        <v>0</v>
      </c>
      <c r="Q12" s="1029">
        <f>'Budget simplifié'!Q12</f>
        <v>0</v>
      </c>
      <c r="R12" s="1075"/>
      <c r="S12" s="1080"/>
    </row>
    <row r="13" spans="1:19">
      <c r="B13" s="945" t="s">
        <v>767</v>
      </c>
      <c r="C13" s="1035">
        <f>'Budget simplifié'!C13</f>
        <v>0</v>
      </c>
      <c r="D13" s="939">
        <f>'Budget simplifié'!D13-Produits!F42</f>
        <v>0</v>
      </c>
      <c r="E13" s="939">
        <f>'Budget simplifié'!E13-Produits!G42</f>
        <v>0</v>
      </c>
      <c r="F13" s="1018">
        <f>'Budget simplifié'!F13</f>
        <v>0</v>
      </c>
      <c r="G13" s="1018">
        <f>'Budget simplifié'!G13</f>
        <v>0</v>
      </c>
      <c r="H13" s="1019">
        <f>'Budget simplifié'!H13</f>
        <v>0</v>
      </c>
      <c r="I13" s="1077">
        <f>SUM(D16:E16)</f>
        <v>40000</v>
      </c>
      <c r="J13" s="1082"/>
      <c r="K13" s="946" t="s">
        <v>720</v>
      </c>
      <c r="L13" s="1035">
        <f>'Budget simplifié'!L13</f>
        <v>0</v>
      </c>
      <c r="M13" s="941">
        <f>'Budget simplifié'!M13</f>
        <v>0</v>
      </c>
      <c r="N13" s="941">
        <f>'Budget simplifié'!N13-Charges!G183-Charges!G173-Charges!G192-Charges!G126-Charges!G196</f>
        <v>0</v>
      </c>
      <c r="O13" s="1030">
        <f>'Budget simplifié'!O13</f>
        <v>52055.384615384624</v>
      </c>
      <c r="P13" s="1028">
        <f>'Budget simplifié'!P13</f>
        <v>0</v>
      </c>
      <c r="Q13" s="1029">
        <f>'Budget simplifié'!Q13</f>
        <v>0</v>
      </c>
      <c r="R13" s="1076"/>
      <c r="S13" s="1080"/>
    </row>
    <row r="14" spans="1:19">
      <c r="B14" s="945" t="s">
        <v>768</v>
      </c>
      <c r="C14" s="1035">
        <f>'Budget simplifié'!C14</f>
        <v>0</v>
      </c>
      <c r="D14" s="939">
        <f>'Budget simplifié'!D14-Produits!F43</f>
        <v>0</v>
      </c>
      <c r="E14" s="939">
        <f>'Budget simplifié'!E14-Produits!G43</f>
        <v>0</v>
      </c>
      <c r="F14" s="1018">
        <f>'Budget simplifié'!F14</f>
        <v>30000</v>
      </c>
      <c r="G14" s="1018">
        <f>'Budget simplifié'!G14</f>
        <v>0</v>
      </c>
      <c r="H14" s="1019">
        <f>'Budget simplifié'!H14</f>
        <v>0</v>
      </c>
      <c r="I14" s="1075"/>
      <c r="J14" s="1083"/>
      <c r="K14" s="946" t="s">
        <v>796</v>
      </c>
      <c r="L14" s="1035">
        <f>'Budget simplifié'!L14</f>
        <v>0</v>
      </c>
      <c r="M14" s="941">
        <f>'Budget simplifié'!M14</f>
        <v>0</v>
      </c>
      <c r="N14" s="941">
        <f>'Budget simplifié'!N14</f>
        <v>0</v>
      </c>
      <c r="O14" s="1028">
        <f>'Budget simplifié'!O14</f>
        <v>0</v>
      </c>
      <c r="P14" s="1028">
        <f>'Budget simplifié'!P14</f>
        <v>20000</v>
      </c>
      <c r="Q14" s="1031">
        <f>'Budget simplifié'!Q14</f>
        <v>22976.153846153851</v>
      </c>
      <c r="R14" s="1077">
        <f>SUM(M18:N18)</f>
        <v>457580.00153846154</v>
      </c>
      <c r="S14" s="1080"/>
    </row>
    <row r="15" spans="1:19">
      <c r="B15" s="945" t="s">
        <v>801</v>
      </c>
      <c r="C15" s="1035">
        <f>'Budget simplifié'!C15</f>
        <v>0</v>
      </c>
      <c r="D15" s="939">
        <f>'Budget simplifié'!D15</f>
        <v>0</v>
      </c>
      <c r="E15" s="939">
        <f>'Budget simplifié'!E15</f>
        <v>0</v>
      </c>
      <c r="F15" s="1018">
        <f>'Budget simplifié'!F15</f>
        <v>0</v>
      </c>
      <c r="G15" s="1018">
        <f>'Budget simplifié'!G15</f>
        <v>10000</v>
      </c>
      <c r="H15" s="1019">
        <f>'Budget simplifié'!H15</f>
        <v>10000</v>
      </c>
      <c r="I15" s="1076"/>
      <c r="J15" s="1082"/>
      <c r="K15" s="946" t="s">
        <v>719</v>
      </c>
      <c r="L15" s="1052">
        <f>'Budget simplifié'!L15</f>
        <v>48514</v>
      </c>
      <c r="M15" s="952">
        <f>'Budget simplifié'!M15-Charges!F176</f>
        <v>0</v>
      </c>
      <c r="N15" s="952">
        <f>'Budget simplifié'!N15-Charges!G176</f>
        <v>0</v>
      </c>
      <c r="O15" s="1018">
        <f>'Budget simplifié'!O15</f>
        <v>54000</v>
      </c>
      <c r="P15" s="1018">
        <f>'Budget simplifié'!P15</f>
        <v>54000</v>
      </c>
      <c r="Q15" s="1019">
        <f>'Budget simplifié'!Q15</f>
        <v>54000</v>
      </c>
      <c r="R15" s="1075"/>
      <c r="S15" s="1080"/>
    </row>
    <row r="16" spans="1:19">
      <c r="A16" s="937" t="s">
        <v>819</v>
      </c>
      <c r="B16" s="949" t="s">
        <v>93</v>
      </c>
      <c r="C16" s="1015">
        <f>'Budget simplifié'!C16</f>
        <v>25000</v>
      </c>
      <c r="D16" s="950">
        <f>'Budget simplifié'!D16</f>
        <v>10000</v>
      </c>
      <c r="E16" s="950">
        <f>'Budget simplifié'!E16</f>
        <v>30000</v>
      </c>
      <c r="F16" s="1015">
        <f>'Budget simplifié'!F16</f>
        <v>30000</v>
      </c>
      <c r="G16" s="1015">
        <f>'Budget simplifié'!G16</f>
        <v>10000</v>
      </c>
      <c r="H16" s="1022">
        <f>'Budget simplifié'!H16</f>
        <v>10000</v>
      </c>
      <c r="I16" s="1075"/>
      <c r="J16" s="1082"/>
      <c r="K16" s="947"/>
      <c r="L16" s="1035" t="e">
        <f>'Budget simplifié'!#REF!</f>
        <v>#REF!</v>
      </c>
      <c r="M16" s="948"/>
      <c r="N16" s="939"/>
      <c r="O16" s="1018" t="e">
        <f>'Budget simplifié'!#REF!</f>
        <v>#REF!</v>
      </c>
      <c r="P16" s="1018" t="e">
        <f>'Budget simplifié'!#REF!</f>
        <v>#REF!</v>
      </c>
      <c r="Q16" s="1019" t="e">
        <f>'Budget simplifié'!#REF!</f>
        <v>#REF!</v>
      </c>
      <c r="R16" s="1075"/>
      <c r="S16" s="1080"/>
    </row>
    <row r="17" spans="1:29">
      <c r="B17" s="953"/>
      <c r="C17" s="1018">
        <f>'Budget simplifié'!C17</f>
        <v>0</v>
      </c>
      <c r="D17" s="939"/>
      <c r="E17" s="939"/>
      <c r="F17" s="1018">
        <f>'Budget simplifié'!F17</f>
        <v>0</v>
      </c>
      <c r="G17" s="1018">
        <f>'Budget simplifié'!G17</f>
        <v>0</v>
      </c>
      <c r="H17" s="1019">
        <f>'Budget simplifié'!H17</f>
        <v>0</v>
      </c>
      <c r="I17" s="1077">
        <f>SUM(D22:E22)</f>
        <v>215300</v>
      </c>
      <c r="J17" s="1082"/>
      <c r="K17" s="946"/>
      <c r="L17" s="1035" t="e">
        <f>'Budget simplifié'!#REF!</f>
        <v>#REF!</v>
      </c>
      <c r="M17" s="941"/>
      <c r="N17" s="939"/>
      <c r="O17" s="1018" t="e">
        <f>'Budget simplifié'!#REF!</f>
        <v>#REF!</v>
      </c>
      <c r="P17" s="1018" t="e">
        <f>'Budget simplifié'!#REF!</f>
        <v>#REF!</v>
      </c>
      <c r="Q17" s="1019" t="e">
        <f>'Budget simplifié'!#REF!</f>
        <v>#REF!</v>
      </c>
      <c r="R17" s="1075"/>
      <c r="S17" s="1080"/>
    </row>
    <row r="18" spans="1:29">
      <c r="B18" s="942" t="s">
        <v>710</v>
      </c>
      <c r="C18" s="1020">
        <f>'Budget simplifié'!C18</f>
        <v>0</v>
      </c>
      <c r="D18" s="943"/>
      <c r="E18" s="965"/>
      <c r="F18" s="1018">
        <f>'Budget simplifié'!F18</f>
        <v>0</v>
      </c>
      <c r="G18" s="1018">
        <f>'Budget simplifié'!G18</f>
        <v>0</v>
      </c>
      <c r="H18" s="1019">
        <f>'Budget simplifié'!H18</f>
        <v>0</v>
      </c>
      <c r="I18" s="1076"/>
      <c r="J18" s="1082"/>
      <c r="K18" s="949" t="s">
        <v>93</v>
      </c>
      <c r="L18" s="1027">
        <f>'Budget simplifié'!L16</f>
        <v>178364</v>
      </c>
      <c r="M18" s="955">
        <f>'Budget simplifié'!M16</f>
        <v>205700</v>
      </c>
      <c r="N18" s="955">
        <f>'Budget simplifié'!N16</f>
        <v>251880.00153846154</v>
      </c>
      <c r="O18" s="1027">
        <f>'Budget simplifié'!O16</f>
        <v>238186.18461538464</v>
      </c>
      <c r="P18" s="1027">
        <f>'Budget simplifié'!P16</f>
        <v>208773.41600000003</v>
      </c>
      <c r="Q18" s="1032">
        <f>'Budget simplifié'!Q16</f>
        <v>214445.03816615386</v>
      </c>
      <c r="R18" s="1075"/>
      <c r="S18" s="1080"/>
    </row>
    <row r="19" spans="1:29">
      <c r="B19" s="945" t="s">
        <v>802</v>
      </c>
      <c r="C19" s="1052">
        <f>'Budget simplifié'!C19</f>
        <v>92350</v>
      </c>
      <c r="D19" s="957">
        <f>'Budget simplifié'!D19-Produits!F16</f>
        <v>0</v>
      </c>
      <c r="E19" s="957">
        <f>'Budget simplifié'!E19-Produits!G16</f>
        <v>0</v>
      </c>
      <c r="F19" s="1018">
        <f>'Budget simplifié'!F19</f>
        <v>110000</v>
      </c>
      <c r="G19" s="1018">
        <f>'Budget simplifié'!G19</f>
        <v>110000</v>
      </c>
      <c r="H19" s="1019">
        <f>'Budget simplifié'!H19</f>
        <v>110000</v>
      </c>
      <c r="I19" s="1076"/>
      <c r="J19" s="1082"/>
      <c r="K19" s="938"/>
      <c r="L19" s="1018">
        <f>'Budget simplifié'!L17</f>
        <v>0</v>
      </c>
      <c r="M19" s="941"/>
      <c r="N19" s="939"/>
      <c r="O19" s="1018">
        <f>'Budget simplifié'!O17</f>
        <v>0</v>
      </c>
      <c r="P19" s="1018">
        <f>'Budget simplifié'!P17</f>
        <v>0</v>
      </c>
      <c r="Q19" s="1019">
        <f>'Budget simplifié'!Q17</f>
        <v>0</v>
      </c>
      <c r="R19" s="1054">
        <v>10000</v>
      </c>
      <c r="S19" s="1080"/>
    </row>
    <row r="20" spans="1:29">
      <c r="B20" s="1055" t="s">
        <v>803</v>
      </c>
      <c r="C20" s="1018">
        <f>'Budget simplifié'!C20</f>
        <v>1000</v>
      </c>
      <c r="D20" s="965">
        <f>'Budget simplifié'!D20-Produits!F61</f>
        <v>0</v>
      </c>
      <c r="E20" s="965">
        <f>'Budget simplifié'!E20-Produits!G61</f>
        <v>0</v>
      </c>
      <c r="F20" s="1018">
        <f>'Budget simplifié'!F20</f>
        <v>1000</v>
      </c>
      <c r="G20" s="1018">
        <f>'Budget simplifié'!G20</f>
        <v>1000</v>
      </c>
      <c r="H20" s="1019">
        <f>'Budget simplifié'!H20</f>
        <v>1000</v>
      </c>
      <c r="I20" s="1076"/>
      <c r="J20" s="1082"/>
      <c r="K20" s="956" t="s">
        <v>5</v>
      </c>
      <c r="L20" s="1020">
        <f>'Budget simplifié'!L18</f>
        <v>0</v>
      </c>
      <c r="M20" s="941"/>
      <c r="N20" s="939"/>
      <c r="O20" s="1018">
        <f>'Budget simplifié'!O18</f>
        <v>0</v>
      </c>
      <c r="P20" s="1018">
        <f>'Budget simplifié'!P18</f>
        <v>0</v>
      </c>
      <c r="Q20" s="1019">
        <f>'Budget simplifié'!Q18</f>
        <v>0</v>
      </c>
      <c r="R20" s="1075"/>
      <c r="S20" s="1080"/>
    </row>
    <row r="21" spans="1:29">
      <c r="B21" s="1056" t="s">
        <v>804</v>
      </c>
      <c r="C21" s="1034">
        <f>'Budget simplifié'!C21</f>
        <v>250</v>
      </c>
      <c r="D21" s="1057">
        <f>'Budget simplifié'!D21-Produits!F79</f>
        <v>0</v>
      </c>
      <c r="E21" s="1057">
        <f>'Budget simplifié'!E21-Produits!G79</f>
        <v>0</v>
      </c>
      <c r="F21" s="1034">
        <f>'Budget simplifié'!F21</f>
        <v>250</v>
      </c>
      <c r="G21" s="1034">
        <f>'Budget simplifié'!G21</f>
        <v>250</v>
      </c>
      <c r="H21" s="1019">
        <f>'Budget simplifié'!H21</f>
        <v>250</v>
      </c>
      <c r="I21" s="1076"/>
      <c r="J21" s="1083"/>
      <c r="K21" s="946" t="s">
        <v>722</v>
      </c>
      <c r="L21" s="1018">
        <f>'Budget simplifié'!L19</f>
        <v>3000</v>
      </c>
      <c r="M21" s="941">
        <f>'Budget simplifié'!M19-Charges!F15-Charges!F25-Charges!F35-Charges!F36-Charges!F37-Charges!F38-Charges!F39-Charges!F40-Charges!F41-Charges!F42</f>
        <v>0</v>
      </c>
      <c r="N21" s="941">
        <f>'Budget simplifié'!N19-Charges!G15-Charges!G25-Charges!G35-Charges!G36-Charges!G37-Charges!G38-Charges!G39-Charges!G40-Charges!G41-Charges!G42</f>
        <v>0</v>
      </c>
      <c r="O21" s="1018">
        <f>'Budget simplifié'!O19</f>
        <v>3000</v>
      </c>
      <c r="P21" s="1018">
        <f>'Budget simplifié'!P19</f>
        <v>3000</v>
      </c>
      <c r="Q21" s="1019">
        <f>'Budget simplifié'!Q19</f>
        <v>3000</v>
      </c>
      <c r="R21" s="1076"/>
      <c r="S21" s="1080"/>
    </row>
    <row r="22" spans="1:29" ht="14.4" customHeight="1">
      <c r="A22" s="937" t="s">
        <v>673</v>
      </c>
      <c r="B22" s="949" t="s">
        <v>93</v>
      </c>
      <c r="C22" s="1015">
        <f>'Budget simplifié'!C22</f>
        <v>93600</v>
      </c>
      <c r="D22" s="950">
        <f>'Budget simplifié'!D22</f>
        <v>100950</v>
      </c>
      <c r="E22" s="950">
        <f>'Budget simplifié'!E22</f>
        <v>114350</v>
      </c>
      <c r="F22" s="1015">
        <f>'Budget simplifié'!F22</f>
        <v>111250</v>
      </c>
      <c r="G22" s="1015">
        <f>'Budget simplifié'!G22</f>
        <v>111250</v>
      </c>
      <c r="H22" s="1022">
        <f>'Budget simplifié'!H22</f>
        <v>111250</v>
      </c>
      <c r="I22" s="1076"/>
      <c r="J22" s="1082"/>
      <c r="K22" s="947" t="s">
        <v>721</v>
      </c>
      <c r="L22" s="1018">
        <f>'Budget simplifié'!L20</f>
        <v>10000</v>
      </c>
      <c r="M22" s="941">
        <f>'Budget simplifié'!M20-Charges!F43-Charges!F49-Charges!F55-Charges!F56-Charges!F57-Charges!F59-Charges!F62-Charges!F63</f>
        <v>0</v>
      </c>
      <c r="N22" s="941">
        <f>'Budget simplifié'!N20-Charges!G43-Charges!G49-Charges!G55-Charges!G56-Charges!G57-Charges!G58-Charges!G59-Charges!G62-Charges!G63</f>
        <v>0</v>
      </c>
      <c r="O22" s="1018">
        <f>'Budget simplifié'!O20</f>
        <v>11000</v>
      </c>
      <c r="P22" s="1018">
        <f>'Budget simplifié'!P20</f>
        <v>12000</v>
      </c>
      <c r="Q22" s="1019">
        <f>'Budget simplifié'!Q20</f>
        <v>12000</v>
      </c>
      <c r="R22" s="1076"/>
      <c r="S22" s="1080"/>
    </row>
    <row r="23" spans="1:29">
      <c r="B23" s="949"/>
      <c r="C23" s="1037"/>
      <c r="D23" s="943"/>
      <c r="E23" s="943"/>
      <c r="F23" s="1020"/>
      <c r="G23" s="1020"/>
      <c r="H23" s="1021"/>
      <c r="I23" s="1076"/>
      <c r="J23" s="1083"/>
      <c r="K23" s="947" t="s">
        <v>800</v>
      </c>
      <c r="L23" s="1018">
        <f>'Budget simplifié'!L21</f>
        <v>0</v>
      </c>
      <c r="M23" s="941">
        <f>'Budget simplifié'!M21</f>
        <v>0</v>
      </c>
      <c r="N23" s="939">
        <f>'Budget simplifié'!N21-Charges!G214</f>
        <v>0</v>
      </c>
      <c r="O23" s="1018">
        <f>'Budget simplifié'!O21</f>
        <v>6000</v>
      </c>
      <c r="P23" s="1018">
        <f>'Budget simplifié'!P21</f>
        <v>6000</v>
      </c>
      <c r="Q23" s="1019">
        <f>'Budget simplifié'!Q21</f>
        <v>6000</v>
      </c>
      <c r="R23" s="1076"/>
      <c r="S23" s="1080"/>
    </row>
    <row r="24" spans="1:29" ht="14.4" customHeight="1">
      <c r="B24" s="949"/>
      <c r="C24" s="1037"/>
      <c r="D24" s="943"/>
      <c r="E24" s="943"/>
      <c r="F24" s="1020"/>
      <c r="G24" s="1020"/>
      <c r="H24" s="1021"/>
      <c r="I24" s="1076"/>
      <c r="J24" s="1082"/>
      <c r="K24" s="946" t="s">
        <v>723</v>
      </c>
      <c r="L24" s="1018">
        <f>'Budget simplifié'!L22</f>
        <v>4000</v>
      </c>
      <c r="M24" s="941">
        <f>'Budget simplifié'!M22-Charges!F64-Charges!F65-Charges!F66-Charges!F67-Charges!F68-Charges!F69-Charges!F70-Charges!F71-Charges!F72</f>
        <v>0</v>
      </c>
      <c r="N24" s="941">
        <f>'Budget simplifié'!N22-Charges!G64-Charges!G65-Charges!G66-Charges!G67-Charges!G68-Charges!G69-Charges!G70-Charges!G71-Charges!G72</f>
        <v>0</v>
      </c>
      <c r="O24" s="1018">
        <f>'Budget simplifié'!O22</f>
        <v>4000</v>
      </c>
      <c r="P24" s="1018">
        <f>'Budget simplifié'!P22</f>
        <v>4000</v>
      </c>
      <c r="Q24" s="1019">
        <f>'Budget simplifié'!Q22</f>
        <v>4000</v>
      </c>
      <c r="R24" s="1077">
        <f>SUM(M33:N33)</f>
        <v>89920</v>
      </c>
      <c r="S24" s="1080"/>
    </row>
    <row r="25" spans="1:29" ht="13.8" thickBot="1">
      <c r="B25" s="949"/>
      <c r="C25" s="1037"/>
      <c r="D25" s="943"/>
      <c r="E25" s="943"/>
      <c r="F25" s="1020"/>
      <c r="G25" s="1020"/>
      <c r="H25" s="1021"/>
      <c r="I25" s="1076"/>
      <c r="J25" s="1082"/>
      <c r="K25" s="946" t="s">
        <v>724</v>
      </c>
      <c r="L25" s="1018">
        <f>'Budget simplifié'!L23</f>
        <v>2500</v>
      </c>
      <c r="M25" s="941">
        <f>'Budget simplifié'!M23-Charges!F73-Charges!F74-Charges!F75-Charges!F76-Charges!F79-Charges!F80-Charges!F83-Charges!F84</f>
        <v>0</v>
      </c>
      <c r="N25" s="941">
        <f>'Budget simplifié'!N23-Charges!G73-Charges!G74-Charges!G75-Charges!G76-Charges!G79-Charges!G80-Charges!G83-Charges!G84</f>
        <v>0</v>
      </c>
      <c r="O25" s="1018">
        <f>'Budget simplifié'!O23</f>
        <v>3000</v>
      </c>
      <c r="P25" s="1018">
        <f>'Budget simplifié'!P23</f>
        <v>3000</v>
      </c>
      <c r="Q25" s="1019">
        <f>'Budget simplifié'!Q23</f>
        <v>3000</v>
      </c>
      <c r="R25" s="1076"/>
      <c r="S25" s="1080"/>
    </row>
    <row r="26" spans="1:29" ht="13.2" customHeight="1" thickBot="1">
      <c r="B26" s="949"/>
      <c r="C26" s="1037"/>
      <c r="D26" s="943"/>
      <c r="E26" s="943"/>
      <c r="F26" s="1020"/>
      <c r="G26" s="1020"/>
      <c r="H26" s="1021"/>
      <c r="I26" s="1078">
        <f>SUM(D35:E35)</f>
        <v>547500</v>
      </c>
      <c r="J26" s="1082"/>
      <c r="K26" s="946" t="s">
        <v>763</v>
      </c>
      <c r="L26" s="1052">
        <f>'Budget simplifié'!L24</f>
        <v>12425</v>
      </c>
      <c r="M26" s="952">
        <f>'Budget simplifié'!M24-Charges!F120</f>
        <v>0</v>
      </c>
      <c r="N26" s="952">
        <f>'Budget simplifié'!N24-Charges!G120</f>
        <v>0</v>
      </c>
      <c r="O26" s="1035">
        <f>'Budget simplifié'!O24</f>
        <v>11000</v>
      </c>
      <c r="P26" s="1035">
        <f>'Budget simplifié'!P24</f>
        <v>11000</v>
      </c>
      <c r="Q26" s="1019">
        <f>'Budget simplifié'!Q24</f>
        <v>11000</v>
      </c>
      <c r="R26" s="1078">
        <f>SUM(M35:N35)</f>
        <v>547500.00153846154</v>
      </c>
      <c r="S26" s="1080"/>
    </row>
    <row r="27" spans="1:29">
      <c r="B27" s="949"/>
      <c r="C27" s="1037"/>
      <c r="D27" s="943"/>
      <c r="E27" s="943"/>
      <c r="F27" s="1020"/>
      <c r="G27" s="1020"/>
      <c r="H27" s="1021"/>
      <c r="I27" s="943"/>
      <c r="J27" s="1082"/>
      <c r="K27" s="946" t="s">
        <v>813</v>
      </c>
      <c r="L27" s="1035">
        <f>'Budget simplifié'!L25</f>
        <v>22000</v>
      </c>
      <c r="M27" s="1035">
        <f>'Budget simplifié'!M25</f>
        <v>0</v>
      </c>
      <c r="N27" s="1035">
        <f>'Budget simplifié'!N25</f>
        <v>0</v>
      </c>
      <c r="O27" s="1035">
        <f>'Budget simplifié'!O25</f>
        <v>0</v>
      </c>
      <c r="P27" s="1035">
        <f>'Budget simplifié'!P25</f>
        <v>0</v>
      </c>
      <c r="Q27" s="1019">
        <f>'Budget simplifié'!Q25</f>
        <v>0</v>
      </c>
      <c r="R27" s="939"/>
      <c r="S27" s="1080"/>
    </row>
    <row r="28" spans="1:29">
      <c r="B28" s="949"/>
      <c r="C28" s="1037"/>
      <c r="D28" s="943"/>
      <c r="E28" s="943"/>
      <c r="F28" s="1020"/>
      <c r="G28" s="1020"/>
      <c r="H28" s="1021"/>
      <c r="I28" s="943"/>
      <c r="J28" s="1083"/>
      <c r="K28" s="946" t="s">
        <v>807</v>
      </c>
      <c r="L28" s="1035">
        <f>'Budget simplifié'!L26</f>
        <v>2311</v>
      </c>
      <c r="M28" s="1035">
        <f>'Budget simplifié'!M26</f>
        <v>0</v>
      </c>
      <c r="N28" s="1035">
        <f>'Budget simplifié'!N26</f>
        <v>0</v>
      </c>
      <c r="O28" s="1035">
        <f>'Budget simplifié'!O26</f>
        <v>0</v>
      </c>
      <c r="P28" s="1035">
        <f>'Budget simplifié'!P26</f>
        <v>0</v>
      </c>
      <c r="Q28" s="1019">
        <f>'Budget simplifié'!Q26</f>
        <v>0</v>
      </c>
      <c r="R28" s="943"/>
      <c r="S28" s="1080"/>
    </row>
    <row r="29" spans="1:29">
      <c r="B29" s="949"/>
      <c r="C29" s="1037"/>
      <c r="D29" s="943"/>
      <c r="E29" s="943"/>
      <c r="F29" s="1020"/>
      <c r="G29" s="1020"/>
      <c r="H29" s="1021"/>
      <c r="I29" s="939"/>
      <c r="J29" s="1082"/>
      <c r="K29" s="946" t="s">
        <v>799</v>
      </c>
      <c r="L29" s="1035">
        <f>'Budget simplifié'!L27</f>
        <v>0</v>
      </c>
      <c r="M29" s="1035">
        <f>'Budget simplifié'!M27-Charges!F110</f>
        <v>0</v>
      </c>
      <c r="N29" s="1052">
        <f>'Budget simplifié'!N27-Charges!G110-Charges!G112-Charges!G113-Charges!G142</f>
        <v>0</v>
      </c>
      <c r="O29" s="1035">
        <f>'Budget simplifié'!O27</f>
        <v>0</v>
      </c>
      <c r="P29" s="1035">
        <f>'Budget simplifié'!P27</f>
        <v>0</v>
      </c>
      <c r="Q29" s="1019">
        <f>'Budget simplifié'!Q27</f>
        <v>0</v>
      </c>
      <c r="R29" s="939"/>
      <c r="S29" s="1080"/>
    </row>
    <row r="30" spans="1:29" ht="15.6">
      <c r="B30" s="949"/>
      <c r="C30" s="1037"/>
      <c r="D30" s="943"/>
      <c r="E30" s="943"/>
      <c r="F30" s="1020"/>
      <c r="G30" s="1020"/>
      <c r="H30" s="1021"/>
      <c r="I30" s="938"/>
      <c r="J30" s="1083"/>
      <c r="K30" s="946" t="s">
        <v>798</v>
      </c>
      <c r="L30" s="1035">
        <f>'Budget simplifié'!L28</f>
        <v>0</v>
      </c>
      <c r="M30" s="1035">
        <f>'Budget simplifié'!M28</f>
        <v>0</v>
      </c>
      <c r="N30" s="1052">
        <f>'Budget simplifié'!N28-Charges!G111</f>
        <v>0</v>
      </c>
      <c r="O30" s="1052">
        <f>'Budget simplifié'!O28</f>
        <v>27000</v>
      </c>
      <c r="P30" s="1035">
        <f>'Budget simplifié'!P28</f>
        <v>0</v>
      </c>
      <c r="Q30" s="1019">
        <f>'Budget simplifié'!Q28</f>
        <v>0</v>
      </c>
      <c r="R30" s="970"/>
      <c r="S30" s="1080"/>
    </row>
    <row r="31" spans="1:29">
      <c r="B31" s="949"/>
      <c r="C31" s="1037"/>
      <c r="D31" s="943"/>
      <c r="E31" s="943"/>
      <c r="F31" s="1020"/>
      <c r="G31" s="1020"/>
      <c r="H31" s="1021"/>
      <c r="I31" s="939"/>
      <c r="J31" s="1083"/>
      <c r="K31" s="946" t="s">
        <v>797</v>
      </c>
      <c r="L31" s="1035">
        <f>'Budget simplifié'!L29</f>
        <v>0</v>
      </c>
      <c r="M31" s="1035">
        <f>'Budget simplifié'!M29</f>
        <v>0</v>
      </c>
      <c r="N31" s="1035">
        <f>'Budget simplifié'!N29</f>
        <v>0</v>
      </c>
      <c r="O31" s="1014">
        <f>'Budget simplifié'!O29</f>
        <v>0</v>
      </c>
      <c r="P31" s="1035">
        <f>'Budget simplifié'!P29</f>
        <v>3000</v>
      </c>
      <c r="Q31" s="1023">
        <f>'Budget simplifié'!Q29</f>
        <v>14050</v>
      </c>
      <c r="S31" s="1080"/>
      <c r="AC31" s="964"/>
    </row>
    <row r="32" spans="1:29" ht="15">
      <c r="B32" s="949"/>
      <c r="C32" s="1037"/>
      <c r="D32" s="943"/>
      <c r="E32" s="943"/>
      <c r="F32" s="1020"/>
      <c r="G32" s="1020"/>
      <c r="H32" s="1021"/>
      <c r="I32" s="969"/>
      <c r="J32" s="1083"/>
      <c r="K32" s="946"/>
      <c r="L32" s="1035" t="e">
        <f>'Budget simplifié'!#REF!</f>
        <v>#REF!</v>
      </c>
      <c r="M32" s="941"/>
      <c r="N32" s="939"/>
      <c r="O32" s="1018" t="e">
        <f>'Budget simplifié'!#REF!</f>
        <v>#REF!</v>
      </c>
      <c r="P32" s="1018" t="e">
        <f>'Budget simplifié'!#REF!</f>
        <v>#REF!</v>
      </c>
      <c r="Q32" s="1019" t="e">
        <f>'Budget simplifié'!#REF!</f>
        <v>#REF!</v>
      </c>
      <c r="S32" s="1080"/>
      <c r="AC32" s="964"/>
    </row>
    <row r="33" spans="2:29">
      <c r="B33" s="949"/>
      <c r="C33" s="1037"/>
      <c r="D33" s="943"/>
      <c r="E33" s="943"/>
      <c r="F33" s="1020"/>
      <c r="G33" s="1020"/>
      <c r="H33" s="1021"/>
      <c r="J33" s="1080"/>
      <c r="K33" s="949" t="s">
        <v>93</v>
      </c>
      <c r="L33" s="1027">
        <f>'Budget simplifié'!L30</f>
        <v>56236</v>
      </c>
      <c r="M33" s="955">
        <f>'Budget simplifié'!M30</f>
        <v>33050</v>
      </c>
      <c r="N33" s="955">
        <f>'Budget simplifié'!N30</f>
        <v>56870</v>
      </c>
      <c r="O33" s="1027">
        <f>'Budget simplifié'!O30</f>
        <v>65000</v>
      </c>
      <c r="P33" s="1027">
        <f>'Budget simplifié'!P30</f>
        <v>42000</v>
      </c>
      <c r="Q33" s="1032">
        <f>'Budget simplifié'!Q30</f>
        <v>53050</v>
      </c>
      <c r="S33" s="1080"/>
      <c r="AC33" s="964"/>
    </row>
    <row r="34" spans="2:29" ht="13.8" thickBot="1">
      <c r="B34" s="949"/>
      <c r="C34" s="1037"/>
      <c r="D34" s="949"/>
      <c r="E34" s="943"/>
      <c r="F34" s="1020"/>
      <c r="G34" s="1020"/>
      <c r="H34" s="1021"/>
      <c r="J34" s="1080"/>
      <c r="K34" s="938"/>
      <c r="L34" s="1018"/>
      <c r="M34" s="941"/>
      <c r="N34" s="939"/>
      <c r="O34" s="1018"/>
      <c r="P34" s="1018"/>
      <c r="Q34" s="1019"/>
      <c r="S34" s="1080"/>
      <c r="AC34" s="964"/>
    </row>
    <row r="35" spans="2:29" ht="13.8" thickBot="1">
      <c r="B35" s="959" t="s">
        <v>707</v>
      </c>
      <c r="C35" s="1016">
        <f t="shared" ref="C35:H35" si="0">C9+C16+C22</f>
        <v>234600</v>
      </c>
      <c r="D35" s="960">
        <f t="shared" si="0"/>
        <v>257050</v>
      </c>
      <c r="E35" s="960">
        <f t="shared" si="0"/>
        <v>290450</v>
      </c>
      <c r="F35" s="1016">
        <f t="shared" si="0"/>
        <v>287350</v>
      </c>
      <c r="G35" s="1016">
        <f t="shared" si="0"/>
        <v>267350</v>
      </c>
      <c r="H35" s="1024">
        <f t="shared" si="0"/>
        <v>267350</v>
      </c>
      <c r="J35" s="1080"/>
      <c r="K35" s="962" t="s">
        <v>112</v>
      </c>
      <c r="L35" s="1016">
        <f t="shared" ref="L35:Q35" si="1">L18+L33</f>
        <v>234600</v>
      </c>
      <c r="M35" s="960">
        <f t="shared" si="1"/>
        <v>238750</v>
      </c>
      <c r="N35" s="960">
        <f t="shared" si="1"/>
        <v>308750.00153846154</v>
      </c>
      <c r="O35" s="1016">
        <f t="shared" si="1"/>
        <v>303186.18461538467</v>
      </c>
      <c r="P35" s="1016">
        <f t="shared" si="1"/>
        <v>250773.41600000003</v>
      </c>
      <c r="Q35" s="1024">
        <f t="shared" si="1"/>
        <v>267495.03816615383</v>
      </c>
      <c r="S35" s="1080"/>
      <c r="AC35" s="964"/>
    </row>
    <row r="36" spans="2:29" ht="13.8" thickBot="1">
      <c r="B36" s="949"/>
      <c r="C36" s="1037"/>
      <c r="D36" s="1117">
        <f>D35-Produits!F163</f>
        <v>0</v>
      </c>
      <c r="E36" s="1117">
        <f>E35-Produits!G163</f>
        <v>0</v>
      </c>
      <c r="F36" s="1025"/>
      <c r="G36" s="1025"/>
      <c r="H36" s="1025"/>
      <c r="K36" s="938"/>
      <c r="L36" s="1018"/>
      <c r="M36" s="941">
        <f>M35-Charges!F218</f>
        <v>0</v>
      </c>
      <c r="N36" s="941">
        <f>N35-Charges!G218</f>
        <v>1.5384615398943424E-3</v>
      </c>
      <c r="O36" s="1018"/>
      <c r="P36" s="1018"/>
      <c r="Q36" s="1018"/>
      <c r="AC36" s="964"/>
    </row>
    <row r="37" spans="2:29" ht="13.8" thickBot="1">
      <c r="B37" s="962" t="s">
        <v>810</v>
      </c>
      <c r="C37" s="1016">
        <f>L35</f>
        <v>234600</v>
      </c>
      <c r="D37" s="960">
        <f t="shared" ref="D37:H37" si="2">M35</f>
        <v>238750</v>
      </c>
      <c r="E37" s="960">
        <f t="shared" si="2"/>
        <v>308750.00153846154</v>
      </c>
      <c r="F37" s="1016">
        <f t="shared" si="2"/>
        <v>303186.18461538467</v>
      </c>
      <c r="G37" s="1016">
        <f t="shared" si="2"/>
        <v>250773.41600000003</v>
      </c>
      <c r="H37" s="1024">
        <f t="shared" si="2"/>
        <v>267495.03816615383</v>
      </c>
      <c r="J37" s="1080"/>
      <c r="L37" s="937"/>
      <c r="O37" s="937"/>
      <c r="P37" s="937"/>
      <c r="Q37" s="937"/>
      <c r="T37" s="964"/>
    </row>
    <row r="38" spans="2:29" ht="13.8" thickBot="1">
      <c r="B38" s="938"/>
      <c r="C38" s="1018"/>
      <c r="D38" s="938"/>
      <c r="E38" s="939"/>
      <c r="F38" s="1018"/>
      <c r="G38" s="1018"/>
      <c r="H38" s="1018"/>
      <c r="L38" s="937"/>
      <c r="O38" s="937"/>
      <c r="P38" s="937"/>
      <c r="Q38" s="937"/>
      <c r="T38" s="964"/>
    </row>
    <row r="39" spans="2:29" ht="13.8" thickBot="1">
      <c r="B39" s="962" t="s">
        <v>708</v>
      </c>
      <c r="C39" s="1038">
        <f t="shared" ref="C39:H39" si="3">C35-L35</f>
        <v>0</v>
      </c>
      <c r="D39" s="963">
        <f t="shared" si="3"/>
        <v>18300</v>
      </c>
      <c r="E39" s="963">
        <f t="shared" si="3"/>
        <v>-18300.00153846154</v>
      </c>
      <c r="F39" s="1017">
        <f t="shared" si="3"/>
        <v>-15836.184615384671</v>
      </c>
      <c r="G39" s="1017">
        <f t="shared" si="3"/>
        <v>16576.583999999973</v>
      </c>
      <c r="H39" s="1026">
        <f t="shared" si="3"/>
        <v>-145.03816615382675</v>
      </c>
      <c r="J39" s="1080"/>
      <c r="L39" s="937"/>
      <c r="O39" s="937"/>
      <c r="P39" s="937"/>
      <c r="Q39" s="937"/>
      <c r="T39" s="964"/>
    </row>
    <row r="40" spans="2:29" ht="13.8" thickBot="1">
      <c r="B40" s="938"/>
      <c r="C40" s="1018"/>
      <c r="D40" s="938"/>
      <c r="E40" s="939"/>
      <c r="F40" s="1018"/>
      <c r="G40" s="1018"/>
      <c r="H40" s="1018"/>
      <c r="L40" s="937"/>
      <c r="O40" s="937"/>
      <c r="P40" s="937"/>
      <c r="Q40" s="937"/>
      <c r="T40" s="964"/>
    </row>
    <row r="41" spans="2:29" ht="16.2" thickBot="1">
      <c r="B41" s="966" t="s">
        <v>709</v>
      </c>
      <c r="C41" s="1039">
        <f>C39</f>
        <v>0</v>
      </c>
      <c r="D41" s="967">
        <f>C41+D39</f>
        <v>18300</v>
      </c>
      <c r="E41" s="967">
        <f>D41+E39</f>
        <v>-1.5384615398943424E-3</v>
      </c>
      <c r="F41" s="967">
        <f>E41+F39</f>
        <v>-15836.186153846211</v>
      </c>
      <c r="G41" s="967">
        <f t="shared" ref="G41:H41" si="4">F41+G39</f>
        <v>740.39784615376266</v>
      </c>
      <c r="H41" s="968">
        <f t="shared" si="4"/>
        <v>595.35967999993591</v>
      </c>
      <c r="J41" s="1080"/>
      <c r="L41" s="937"/>
      <c r="O41" s="937"/>
      <c r="P41" s="937"/>
      <c r="Q41" s="937"/>
      <c r="T41" s="964"/>
    </row>
    <row r="42" spans="2:29">
      <c r="L42" s="937"/>
      <c r="O42" s="937"/>
      <c r="P42" s="937"/>
      <c r="Q42" s="937"/>
      <c r="T42" s="964"/>
    </row>
    <row r="43" spans="2:29">
      <c r="L43" s="937"/>
      <c r="O43" s="937"/>
      <c r="P43" s="937"/>
      <c r="Q43" s="937"/>
      <c r="T43" s="964"/>
    </row>
    <row r="44" spans="2:29">
      <c r="L44" s="937"/>
      <c r="O44" s="937"/>
      <c r="P44" s="937"/>
      <c r="Q44" s="937"/>
      <c r="T44" s="964"/>
    </row>
    <row r="45" spans="2:29">
      <c r="L45" s="937"/>
      <c r="O45" s="937"/>
      <c r="P45" s="937"/>
      <c r="Q45" s="937"/>
      <c r="T45" s="964"/>
    </row>
    <row r="46" spans="2:29">
      <c r="L46" s="937"/>
      <c r="O46" s="937"/>
      <c r="P46" s="937"/>
      <c r="Q46" s="937"/>
      <c r="T46" s="964"/>
    </row>
    <row r="47" spans="2:29">
      <c r="L47" s="937"/>
      <c r="O47" s="937"/>
      <c r="P47" s="937"/>
      <c r="Q47" s="937"/>
      <c r="T47" s="964"/>
    </row>
    <row r="48" spans="2:29">
      <c r="L48" s="937"/>
      <c r="O48" s="937"/>
      <c r="P48" s="937"/>
      <c r="Q48" s="937"/>
    </row>
    <row r="49" spans="12:17">
      <c r="L49" s="937"/>
      <c r="O49" s="937"/>
      <c r="P49" s="937"/>
      <c r="Q49" s="937"/>
    </row>
    <row r="50" spans="12:17">
      <c r="L50" s="937"/>
      <c r="O50" s="937"/>
      <c r="P50" s="937"/>
      <c r="Q50" s="937"/>
    </row>
    <row r="51" spans="12:17" ht="14.4" customHeight="1">
      <c r="L51" s="937"/>
      <c r="O51" s="937"/>
      <c r="P51" s="937"/>
      <c r="Q51" s="937"/>
    </row>
  </sheetData>
  <conditionalFormatting sqref="B39:H41">
    <cfRule type="cellIs" dxfId="37" priority="2" operator="lessThan">
      <formula>0</formula>
    </cfRule>
  </conditionalFormatting>
  <conditionalFormatting sqref="M18:N18 M33:N33 M21:N31 D5:E9 D12:E16 D19:E22 M5:N15">
    <cfRule type="cellIs" dxfId="36" priority="1" operator="equal">
      <formula>0</formula>
    </cfRule>
  </conditionalFormatting>
  <pageMargins left="0.7" right="0.7" top="0.75" bottom="0.75" header="0.3" footer="0.3"/>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B6F1B-B66B-4E44-92A0-468C2C724652}">
  <sheetPr>
    <tabColor theme="4"/>
  </sheetPr>
  <dimension ref="A1:J16"/>
  <sheetViews>
    <sheetView workbookViewId="0">
      <selection activeCell="E27" sqref="E27"/>
    </sheetView>
    <sheetView workbookViewId="1">
      <selection activeCell="M17" sqref="M17"/>
    </sheetView>
  </sheetViews>
  <sheetFormatPr baseColWidth="10" defaultRowHeight="13.2"/>
  <cols>
    <col min="1" max="1" width="11.5546875" style="972"/>
    <col min="2" max="3" width="17.33203125" style="642" customWidth="1"/>
    <col min="4" max="5" width="17.33203125" style="642" bestFit="1" customWidth="1"/>
    <col min="6" max="7" width="17.33203125" style="642" customWidth="1"/>
    <col min="8" max="16384" width="11.5546875" style="642"/>
  </cols>
  <sheetData>
    <row r="1" spans="1:10" s="972" customFormat="1" ht="28.8" customHeight="1">
      <c r="A1" s="1211" t="s">
        <v>677</v>
      </c>
      <c r="B1" s="1212"/>
      <c r="C1" s="1212"/>
      <c r="D1" s="1212"/>
      <c r="E1" s="1212"/>
      <c r="F1" s="1212"/>
      <c r="G1" s="1213"/>
    </row>
    <row r="2" spans="1:10" s="972" customFormat="1">
      <c r="A2" s="1145"/>
      <c r="B2" s="1143">
        <v>2023</v>
      </c>
      <c r="C2" s="1143">
        <v>2024</v>
      </c>
      <c r="D2" s="1143">
        <v>2025</v>
      </c>
      <c r="E2" s="1143">
        <v>2026</v>
      </c>
      <c r="F2" s="1143">
        <v>2027</v>
      </c>
      <c r="G2" s="1144">
        <v>2028</v>
      </c>
    </row>
    <row r="3" spans="1:10" hidden="1">
      <c r="A3" s="975" t="s">
        <v>676</v>
      </c>
      <c r="B3" s="1156"/>
      <c r="C3" s="1216" t="s">
        <v>764</v>
      </c>
      <c r="D3" s="1216"/>
      <c r="E3" s="1216"/>
      <c r="F3" s="1216"/>
      <c r="G3" s="1217"/>
    </row>
    <row r="4" spans="1:10" hidden="1">
      <c r="A4" s="974"/>
      <c r="B4" s="1156"/>
      <c r="C4" s="1214" t="s">
        <v>714</v>
      </c>
      <c r="D4" s="1214"/>
      <c r="E4" s="1214"/>
      <c r="F4" s="1214"/>
      <c r="G4" s="1215"/>
    </row>
    <row r="5" spans="1:10" hidden="1">
      <c r="A5" s="974"/>
      <c r="B5" s="1156"/>
      <c r="C5" s="1156"/>
      <c r="D5" s="1156" t="s">
        <v>715</v>
      </c>
      <c r="E5" s="1156"/>
      <c r="F5" s="1156"/>
      <c r="G5" s="976"/>
    </row>
    <row r="6" spans="1:10" hidden="1">
      <c r="A6" s="974"/>
      <c r="B6" s="1156"/>
      <c r="C6" s="1156"/>
      <c r="D6" s="1156"/>
      <c r="E6" s="1156"/>
      <c r="F6" s="1156"/>
      <c r="G6" s="976"/>
    </row>
    <row r="7" spans="1:10" hidden="1">
      <c r="A7" s="974"/>
      <c r="B7" s="1156"/>
      <c r="C7" s="1156"/>
      <c r="D7" s="1156"/>
      <c r="E7" s="1156"/>
      <c r="F7" s="1156"/>
      <c r="G7" s="976"/>
      <c r="J7" s="973"/>
    </row>
    <row r="8" spans="1:10">
      <c r="A8" s="1146" t="s">
        <v>840</v>
      </c>
      <c r="B8" s="1150" t="s">
        <v>712</v>
      </c>
      <c r="C8" s="1149" t="s">
        <v>854</v>
      </c>
      <c r="D8" s="1149" t="s">
        <v>854</v>
      </c>
      <c r="E8" s="1150"/>
      <c r="F8" s="1150"/>
      <c r="G8" s="1151"/>
    </row>
    <row r="9" spans="1:10">
      <c r="A9" s="1147"/>
      <c r="B9" s="1157"/>
      <c r="C9" s="1157"/>
      <c r="D9" s="1157" t="s">
        <v>878</v>
      </c>
      <c r="E9" s="1157" t="s">
        <v>878</v>
      </c>
      <c r="F9" s="1157"/>
      <c r="G9" s="1152"/>
    </row>
    <row r="10" spans="1:10">
      <c r="A10" s="1147"/>
      <c r="B10" s="1157"/>
      <c r="C10" s="1157"/>
      <c r="D10" s="1157"/>
      <c r="E10" s="1157"/>
      <c r="F10" s="1158" t="s">
        <v>860</v>
      </c>
      <c r="G10" s="1153" t="s">
        <v>860</v>
      </c>
    </row>
    <row r="11" spans="1:10">
      <c r="A11" s="1146" t="s">
        <v>54</v>
      </c>
      <c r="B11" s="1150" t="s">
        <v>713</v>
      </c>
      <c r="C11" s="1150" t="s">
        <v>713</v>
      </c>
      <c r="D11" s="1150" t="s">
        <v>713</v>
      </c>
      <c r="E11" s="1150"/>
      <c r="F11" s="1150"/>
      <c r="G11" s="1151"/>
    </row>
    <row r="12" spans="1:10">
      <c r="A12" s="1147"/>
      <c r="B12" s="1157"/>
      <c r="C12" s="1157" t="s">
        <v>712</v>
      </c>
      <c r="D12" s="1157" t="s">
        <v>712</v>
      </c>
      <c r="E12" s="1157" t="s">
        <v>712</v>
      </c>
      <c r="F12" s="1157" t="s">
        <v>712</v>
      </c>
      <c r="G12" s="1152" t="s">
        <v>712</v>
      </c>
    </row>
    <row r="13" spans="1:10">
      <c r="A13" s="1147"/>
      <c r="B13" s="1157"/>
      <c r="C13" s="1157"/>
      <c r="D13" s="1157"/>
      <c r="E13" s="1157" t="s">
        <v>854</v>
      </c>
      <c r="F13" s="1157" t="s">
        <v>854</v>
      </c>
      <c r="G13" s="1152" t="s">
        <v>854</v>
      </c>
    </row>
    <row r="14" spans="1:10">
      <c r="A14" s="1147"/>
      <c r="B14" s="1157"/>
      <c r="C14" s="1157"/>
      <c r="D14" s="1157"/>
      <c r="E14" s="1157"/>
      <c r="F14" s="1157" t="s">
        <v>878</v>
      </c>
      <c r="G14" s="1152" t="s">
        <v>878</v>
      </c>
    </row>
    <row r="15" spans="1:10">
      <c r="A15" s="1147"/>
      <c r="B15" s="1158" t="s">
        <v>876</v>
      </c>
      <c r="C15" s="1158" t="s">
        <v>876</v>
      </c>
      <c r="D15" s="1158" t="s">
        <v>876</v>
      </c>
      <c r="E15" s="1158" t="s">
        <v>876</v>
      </c>
      <c r="F15" s="1158" t="s">
        <v>876</v>
      </c>
      <c r="G15" s="1153" t="s">
        <v>876</v>
      </c>
    </row>
    <row r="16" spans="1:10">
      <c r="A16" s="1148"/>
      <c r="B16" s="1154" t="s">
        <v>877</v>
      </c>
      <c r="C16" s="1154" t="s">
        <v>877</v>
      </c>
      <c r="D16" s="1154" t="s">
        <v>877</v>
      </c>
      <c r="E16" s="1154" t="s">
        <v>877</v>
      </c>
      <c r="F16" s="1154" t="s">
        <v>877</v>
      </c>
      <c r="G16" s="1155" t="s">
        <v>877</v>
      </c>
    </row>
  </sheetData>
  <mergeCells count="3">
    <mergeCell ref="A1:G1"/>
    <mergeCell ref="C4:G4"/>
    <mergeCell ref="C3:G3"/>
  </mergeCells>
  <phoneticPr fontId="73"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6878B-096B-408F-BFBC-374546B41C15}">
  <sheetPr>
    <tabColor theme="5"/>
    <pageSetUpPr fitToPage="1"/>
  </sheetPr>
  <dimension ref="A1:AG51"/>
  <sheetViews>
    <sheetView topLeftCell="A7" workbookViewId="0">
      <selection activeCell="AB39" sqref="AB39"/>
    </sheetView>
    <sheetView topLeftCell="A16" workbookViewId="1">
      <selection activeCell="S32" sqref="S32"/>
    </sheetView>
  </sheetViews>
  <sheetFormatPr baseColWidth="10" defaultRowHeight="13.2"/>
  <cols>
    <col min="1" max="1" width="13.5546875" style="937" bestFit="1" customWidth="1"/>
    <col min="2" max="2" width="33.5546875" style="937" bestFit="1" customWidth="1"/>
    <col min="3" max="3" width="15.109375" style="1034" hidden="1" customWidth="1"/>
    <col min="4" max="5" width="15.109375" style="937" bestFit="1" customWidth="1"/>
    <col min="6" max="8" width="15.109375" style="1014" customWidth="1"/>
    <col min="9" max="9" width="13.88671875" style="937" bestFit="1" customWidth="1"/>
    <col min="10" max="10" width="12.5546875" style="937" customWidth="1"/>
    <col min="11" max="11" width="37.77734375" style="937" bestFit="1" customWidth="1"/>
    <col min="12" max="12" width="15.109375" style="1034" hidden="1" customWidth="1"/>
    <col min="13" max="14" width="13.33203125" style="937" bestFit="1" customWidth="1"/>
    <col min="15" max="15" width="13.33203125" style="1014" bestFit="1" customWidth="1"/>
    <col min="16" max="16" width="14" style="1014" bestFit="1" customWidth="1"/>
    <col min="17" max="17" width="12.5546875" style="1014" bestFit="1" customWidth="1"/>
    <col min="18" max="18" width="13.88671875" style="937" bestFit="1" customWidth="1"/>
    <col min="19" max="19" width="11.5546875" style="937"/>
    <col min="20" max="20" width="37.21875" style="937" customWidth="1"/>
    <col min="21" max="21" width="15" style="937" customWidth="1"/>
    <col min="22" max="22" width="11.5546875" style="937"/>
    <col min="23" max="23" width="12.33203125" style="937" bestFit="1" customWidth="1"/>
    <col min="24" max="24" width="12.6640625" style="937" bestFit="1" customWidth="1"/>
    <col min="25" max="25" width="24.77734375" style="937" bestFit="1" customWidth="1"/>
    <col min="26" max="26" width="32.21875" style="937" customWidth="1"/>
    <col min="27" max="27" width="13.88671875" style="937" bestFit="1" customWidth="1"/>
    <col min="28" max="28" width="12.5546875" style="937" bestFit="1" customWidth="1"/>
    <col min="29" max="29" width="15" style="937" customWidth="1"/>
    <col min="30" max="30" width="11.5546875" style="937"/>
    <col min="31" max="31" width="12.33203125" style="937" bestFit="1" customWidth="1"/>
    <col min="32" max="16384" width="11.5546875" style="937"/>
  </cols>
  <sheetData>
    <row r="1" spans="1:28" ht="13.8" thickBot="1"/>
    <row r="2" spans="1:28" s="1051" customFormat="1" ht="31.8" thickBot="1">
      <c r="B2" s="1040" t="s">
        <v>830</v>
      </c>
      <c r="C2" s="1041">
        <v>2023</v>
      </c>
      <c r="D2" s="1042">
        <v>2024</v>
      </c>
      <c r="E2" s="1042">
        <v>2025</v>
      </c>
      <c r="F2" s="1043">
        <v>2026</v>
      </c>
      <c r="G2" s="1043">
        <v>2027</v>
      </c>
      <c r="H2" s="1044">
        <v>2028</v>
      </c>
      <c r="I2" s="1045" t="s">
        <v>705</v>
      </c>
      <c r="J2" s="1046"/>
      <c r="K2" s="1040" t="s">
        <v>831</v>
      </c>
      <c r="L2" s="1047">
        <v>2023</v>
      </c>
      <c r="M2" s="1048">
        <v>2024</v>
      </c>
      <c r="N2" s="1048">
        <v>2025</v>
      </c>
      <c r="O2" s="1049">
        <v>2026</v>
      </c>
      <c r="P2" s="1049">
        <v>2027</v>
      </c>
      <c r="Q2" s="1050">
        <v>2028</v>
      </c>
      <c r="R2" s="1045" t="s">
        <v>705</v>
      </c>
    </row>
    <row r="3" spans="1:28">
      <c r="B3" s="938"/>
      <c r="C3" s="1018"/>
      <c r="D3" s="938"/>
      <c r="E3" s="939"/>
      <c r="F3" s="1018"/>
      <c r="G3" s="1018"/>
      <c r="H3" s="1019"/>
      <c r="I3" s="940"/>
      <c r="J3" s="939"/>
      <c r="K3" s="938"/>
      <c r="L3" s="1018"/>
      <c r="M3" s="941"/>
      <c r="N3" s="939"/>
      <c r="O3" s="1018"/>
      <c r="P3" s="1018"/>
      <c r="Q3" s="1019"/>
      <c r="R3" s="940"/>
    </row>
    <row r="4" spans="1:28">
      <c r="B4" s="942" t="s">
        <v>150</v>
      </c>
      <c r="C4" s="1020"/>
      <c r="D4" s="942"/>
      <c r="E4" s="943"/>
      <c r="F4" s="1020"/>
      <c r="G4" s="1020"/>
      <c r="H4" s="1021"/>
      <c r="I4" s="940"/>
      <c r="J4" s="943"/>
      <c r="K4" s="942" t="s">
        <v>706</v>
      </c>
      <c r="L4" s="1020"/>
      <c r="M4" s="941"/>
      <c r="N4" s="939"/>
      <c r="O4" s="1018"/>
      <c r="P4" s="1018"/>
      <c r="Q4" s="1019"/>
      <c r="R4" s="944"/>
      <c r="X4" s="1063">
        <f>U8-SUM(AA4:AA7)</f>
        <v>0</v>
      </c>
      <c r="Y4" s="1073" t="s">
        <v>850</v>
      </c>
      <c r="Z4" s="937" t="s">
        <v>825</v>
      </c>
      <c r="AA4" s="1063">
        <f>R6+R7/2</f>
        <v>270610.08831999998</v>
      </c>
    </row>
    <row r="5" spans="1:28">
      <c r="B5" s="1055" t="s">
        <v>812</v>
      </c>
      <c r="C5" s="1035">
        <v>30000</v>
      </c>
      <c r="D5" s="1084"/>
      <c r="E5" s="965"/>
      <c r="F5" s="1018"/>
      <c r="G5" s="1018"/>
      <c r="H5" s="1019"/>
      <c r="I5" s="940"/>
      <c r="J5" s="939"/>
      <c r="K5" s="946" t="s">
        <v>716</v>
      </c>
      <c r="L5" s="1035">
        <v>22700</v>
      </c>
      <c r="M5" s="941">
        <v>26000</v>
      </c>
      <c r="N5" s="941">
        <f>M5*1.02</f>
        <v>26520</v>
      </c>
      <c r="O5" s="1028">
        <f>N5*1.02</f>
        <v>27050.400000000001</v>
      </c>
      <c r="P5" s="1028">
        <f>O5*1.02</f>
        <v>27591.408000000003</v>
      </c>
      <c r="Q5" s="1029">
        <f>P5*1.02</f>
        <v>28143.236160000004</v>
      </c>
      <c r="R5" s="940">
        <f>SUM(M5:Q5)</f>
        <v>135305.04415999999</v>
      </c>
      <c r="Z5" s="937" t="s">
        <v>852</v>
      </c>
      <c r="AA5" s="1063">
        <f>R8*2/3</f>
        <v>79795.282453333333</v>
      </c>
    </row>
    <row r="6" spans="1:28">
      <c r="B6" s="1055" t="s">
        <v>808</v>
      </c>
      <c r="C6" s="1035">
        <v>30000</v>
      </c>
      <c r="D6" s="1084"/>
      <c r="E6" s="965"/>
      <c r="F6" s="1018"/>
      <c r="G6" s="1018"/>
      <c r="H6" s="1019"/>
      <c r="I6" s="944"/>
      <c r="J6" s="939"/>
      <c r="K6" s="946" t="s">
        <v>717</v>
      </c>
      <c r="L6" s="1035">
        <v>22700</v>
      </c>
      <c r="M6" s="941">
        <v>26000</v>
      </c>
      <c r="N6" s="941">
        <f t="shared" ref="N6:O8" si="0">M6*1.02</f>
        <v>26520</v>
      </c>
      <c r="O6" s="1028">
        <f t="shared" si="0"/>
        <v>27050.400000000001</v>
      </c>
      <c r="P6" s="1028">
        <f t="shared" ref="P6:Q6" si="1">O6*1.02</f>
        <v>27591.408000000003</v>
      </c>
      <c r="Q6" s="1029">
        <f t="shared" si="1"/>
        <v>28143.236160000004</v>
      </c>
      <c r="R6" s="940">
        <f t="shared" ref="R6:R15" si="2">SUM(M6:Q6)</f>
        <v>135305.04415999999</v>
      </c>
      <c r="Z6" s="937" t="s">
        <v>821</v>
      </c>
      <c r="AA6" s="1063">
        <f>R19+R21</f>
        <v>39000</v>
      </c>
    </row>
    <row r="7" spans="1:28" ht="13.8" customHeight="1">
      <c r="A7" s="937" t="s">
        <v>845</v>
      </c>
      <c r="B7" s="945" t="s">
        <v>811</v>
      </c>
      <c r="D7" s="939">
        <v>87000</v>
      </c>
      <c r="E7" s="939">
        <f>D7</f>
        <v>87000</v>
      </c>
      <c r="F7" s="1018">
        <f t="shared" ref="F7:H7" si="3">E7</f>
        <v>87000</v>
      </c>
      <c r="G7" s="1018">
        <f t="shared" si="3"/>
        <v>87000</v>
      </c>
      <c r="H7" s="1019">
        <f t="shared" si="3"/>
        <v>87000</v>
      </c>
      <c r="I7" s="940">
        <f>SUM(D7:H7)</f>
        <v>435000</v>
      </c>
      <c r="J7" s="939"/>
      <c r="K7" s="947" t="s">
        <v>718</v>
      </c>
      <c r="L7" s="1035">
        <v>45450</v>
      </c>
      <c r="M7" s="948">
        <v>52000</v>
      </c>
      <c r="N7" s="941">
        <f t="shared" si="0"/>
        <v>53040</v>
      </c>
      <c r="O7" s="1018">
        <f t="shared" si="0"/>
        <v>54100.800000000003</v>
      </c>
      <c r="P7" s="1018">
        <f t="shared" ref="P7:Q7" si="4">O7*1.02</f>
        <v>55182.816000000006</v>
      </c>
      <c r="Q7" s="1019">
        <f t="shared" si="4"/>
        <v>56286.472320000008</v>
      </c>
      <c r="R7" s="940">
        <f t="shared" si="2"/>
        <v>270610.08831999998</v>
      </c>
      <c r="Z7" s="937" t="s">
        <v>839</v>
      </c>
      <c r="AA7" s="1063">
        <f>R22+R20/2</f>
        <v>46885</v>
      </c>
    </row>
    <row r="8" spans="1:28">
      <c r="A8" s="937" t="s">
        <v>846</v>
      </c>
      <c r="B8" s="945" t="s">
        <v>711</v>
      </c>
      <c r="C8" s="1035">
        <v>56000</v>
      </c>
      <c r="D8" s="939">
        <v>59100</v>
      </c>
      <c r="E8" s="939">
        <v>59100</v>
      </c>
      <c r="F8" s="1018">
        <v>59100</v>
      </c>
      <c r="G8" s="1018">
        <v>59100</v>
      </c>
      <c r="H8" s="1019">
        <v>59100</v>
      </c>
      <c r="I8" s="940">
        <f>SUM(D8:H8)</f>
        <v>295500</v>
      </c>
      <c r="J8" s="939"/>
      <c r="K8" s="946" t="s">
        <v>844</v>
      </c>
      <c r="L8" s="1035"/>
      <c r="M8" s="941">
        <v>23000</v>
      </c>
      <c r="N8" s="941">
        <f t="shared" si="0"/>
        <v>23460</v>
      </c>
      <c r="O8" s="1028">
        <f t="shared" si="0"/>
        <v>23929.200000000001</v>
      </c>
      <c r="P8" s="1028">
        <f t="shared" ref="P8:Q8" si="5">O8*1.02</f>
        <v>24407.784</v>
      </c>
      <c r="Q8" s="1029">
        <f t="shared" si="5"/>
        <v>24895.939679999999</v>
      </c>
      <c r="R8" s="940">
        <f t="shared" si="2"/>
        <v>119692.92367999999</v>
      </c>
      <c r="T8" s="937" t="s">
        <v>850</v>
      </c>
      <c r="U8" s="1063">
        <f>R6+R7/2+R8*2/3+R19+R22+R21+R20/2</f>
        <v>436290.3707733333</v>
      </c>
      <c r="X8" s="1063">
        <f>U10-SUM(AA8:AA10)</f>
        <v>0</v>
      </c>
      <c r="Y8" s="1073" t="s">
        <v>840</v>
      </c>
      <c r="Z8" s="937" t="s">
        <v>854</v>
      </c>
      <c r="AA8" s="1063">
        <f>R12+R27+R23/3+R5/3+R7/6</f>
        <v>175143.36431179487</v>
      </c>
      <c r="AB8" s="1063">
        <f>R12+R27</f>
        <v>80240.00153846154</v>
      </c>
    </row>
    <row r="9" spans="1:28">
      <c r="A9" s="937" t="s">
        <v>820</v>
      </c>
      <c r="B9" s="949" t="s">
        <v>93</v>
      </c>
      <c r="C9" s="1015">
        <f>SUM(C5:C8)</f>
        <v>116000</v>
      </c>
      <c r="D9" s="950">
        <f t="shared" ref="D9:H9" si="6">SUM(D5:D8)</f>
        <v>146100</v>
      </c>
      <c r="E9" s="950">
        <f t="shared" si="6"/>
        <v>146100</v>
      </c>
      <c r="F9" s="1015">
        <f t="shared" si="6"/>
        <v>146100</v>
      </c>
      <c r="G9" s="1015">
        <f t="shared" si="6"/>
        <v>146100</v>
      </c>
      <c r="H9" s="1022">
        <f t="shared" si="6"/>
        <v>146100</v>
      </c>
      <c r="I9" s="951">
        <f>SUM(D9:H9)</f>
        <v>730500</v>
      </c>
      <c r="J9" s="939"/>
      <c r="K9" s="946" t="s">
        <v>815</v>
      </c>
      <c r="L9" s="1035">
        <v>30000</v>
      </c>
      <c r="M9" s="941"/>
      <c r="N9" s="941"/>
      <c r="O9" s="1028"/>
      <c r="P9" s="1028"/>
      <c r="Q9" s="1029"/>
      <c r="R9" s="940">
        <f t="shared" si="2"/>
        <v>0</v>
      </c>
      <c r="Z9" s="937" t="s">
        <v>855</v>
      </c>
      <c r="AA9" s="1063">
        <f>R13+R28+R23/3+R5/3+R7/6</f>
        <v>204958.74738871795</v>
      </c>
      <c r="AB9" s="1063">
        <f>R13+R28</f>
        <v>110055.38461538462</v>
      </c>
    </row>
    <row r="10" spans="1:28">
      <c r="B10" s="953"/>
      <c r="C10" s="1018"/>
      <c r="D10" s="939"/>
      <c r="E10" s="939"/>
      <c r="F10" s="1018"/>
      <c r="G10" s="1018"/>
      <c r="H10" s="1019"/>
      <c r="I10" s="940"/>
      <c r="J10" s="939"/>
      <c r="K10" s="946" t="s">
        <v>806</v>
      </c>
      <c r="L10" s="1035">
        <v>4000</v>
      </c>
      <c r="M10" s="941"/>
      <c r="N10" s="941"/>
      <c r="O10" s="1028"/>
      <c r="P10" s="1028"/>
      <c r="Q10" s="1029"/>
      <c r="R10" s="940">
        <f t="shared" si="2"/>
        <v>0</v>
      </c>
      <c r="T10" s="937" t="s">
        <v>840</v>
      </c>
      <c r="U10" s="1063">
        <f>R12+R13+R14+R27+R28+R29+R23+R5+R7/2</f>
        <v>535031.62832000002</v>
      </c>
      <c r="Z10" s="937" t="s">
        <v>860</v>
      </c>
      <c r="AA10" s="1063">
        <f>R14+R29+R23/3+R5/3+R7/6</f>
        <v>154929.51661948717</v>
      </c>
      <c r="AB10" s="1063">
        <f>R14+R29</f>
        <v>60026.153846153851</v>
      </c>
    </row>
    <row r="11" spans="1:28">
      <c r="B11" s="954" t="s">
        <v>809</v>
      </c>
      <c r="C11" s="1036"/>
      <c r="D11" s="943"/>
      <c r="E11" s="943"/>
      <c r="F11" s="1020"/>
      <c r="G11" s="1020"/>
      <c r="H11" s="1021"/>
      <c r="I11" s="944"/>
      <c r="J11" s="939"/>
      <c r="K11" s="946" t="s">
        <v>805</v>
      </c>
      <c r="L11" s="1035">
        <v>5000</v>
      </c>
      <c r="M11" s="941"/>
      <c r="N11" s="941"/>
      <c r="O11" s="1028"/>
      <c r="P11" s="1028"/>
      <c r="Q11" s="1029"/>
      <c r="R11" s="940">
        <f t="shared" si="2"/>
        <v>0</v>
      </c>
      <c r="X11" s="1063">
        <f>U15-SUM(AA11:AA14)</f>
        <v>0</v>
      </c>
      <c r="Y11" s="1073" t="s">
        <v>851</v>
      </c>
      <c r="Z11" s="937" t="s">
        <v>856</v>
      </c>
      <c r="AA11" s="1063">
        <f>R15</f>
        <v>276800</v>
      </c>
    </row>
    <row r="12" spans="1:28">
      <c r="B12" s="1053" t="s">
        <v>814</v>
      </c>
      <c r="C12" s="1035">
        <v>25000</v>
      </c>
      <c r="D12" s="943"/>
      <c r="E12" s="943"/>
      <c r="F12" s="1020"/>
      <c r="G12" s="1020"/>
      <c r="H12" s="1021"/>
      <c r="I12" s="940"/>
      <c r="J12" s="943"/>
      <c r="K12" s="946" t="s">
        <v>858</v>
      </c>
      <c r="L12" s="1035"/>
      <c r="M12" s="941">
        <v>25000</v>
      </c>
      <c r="N12" s="952">
        <f>Métiers!K206-M12-252.31+13.85</f>
        <v>36240.001538461533</v>
      </c>
      <c r="O12" s="1028"/>
      <c r="P12" s="1028"/>
      <c r="Q12" s="1029"/>
      <c r="R12" s="940">
        <f t="shared" si="2"/>
        <v>61240.001538461533</v>
      </c>
      <c r="Z12" s="937" t="s">
        <v>54</v>
      </c>
      <c r="AA12" s="1063">
        <f>R8/3</f>
        <v>39897.641226666667</v>
      </c>
    </row>
    <row r="13" spans="1:28">
      <c r="B13" s="945" t="s">
        <v>767</v>
      </c>
      <c r="C13" s="1035"/>
      <c r="D13" s="939">
        <v>10000</v>
      </c>
      <c r="E13" s="939">
        <v>10000</v>
      </c>
      <c r="F13" s="1018"/>
      <c r="G13" s="1018"/>
      <c r="H13" s="1019"/>
      <c r="I13" s="940">
        <f>SUM(D13:H13)</f>
        <v>20000</v>
      </c>
      <c r="J13" s="939"/>
      <c r="K13" s="946" t="s">
        <v>720</v>
      </c>
      <c r="L13" s="1035"/>
      <c r="M13" s="941"/>
      <c r="N13" s="941">
        <v>25000</v>
      </c>
      <c r="O13" s="1030">
        <f>GIEC!K206-N13</f>
        <v>52055.384615384624</v>
      </c>
      <c r="P13" s="1028"/>
      <c r="Q13" s="1029"/>
      <c r="R13" s="940">
        <f t="shared" si="2"/>
        <v>77055.384615384624</v>
      </c>
      <c r="Z13" s="937" t="s">
        <v>857</v>
      </c>
      <c r="AA13" s="1063">
        <f>R20/2</f>
        <v>26885</v>
      </c>
    </row>
    <row r="14" spans="1:28">
      <c r="B14" s="945" t="s">
        <v>768</v>
      </c>
      <c r="C14" s="1035"/>
      <c r="D14" s="939"/>
      <c r="E14" s="939">
        <v>20000</v>
      </c>
      <c r="F14" s="1018">
        <v>30000</v>
      </c>
      <c r="G14" s="1018"/>
      <c r="H14" s="1019"/>
      <c r="I14" s="940">
        <f t="shared" ref="I14:I15" si="7">SUM(D14:H14)</f>
        <v>50000</v>
      </c>
      <c r="J14" s="943"/>
      <c r="K14" s="946" t="s">
        <v>859</v>
      </c>
      <c r="L14" s="1035"/>
      <c r="M14" s="941"/>
      <c r="N14" s="941"/>
      <c r="O14" s="1028"/>
      <c r="P14" s="1028">
        <v>20000</v>
      </c>
      <c r="Q14" s="1031">
        <f>'22 histoires au coin de la rue'!K207-P14</f>
        <v>22976.153846153851</v>
      </c>
      <c r="R14" s="940">
        <f t="shared" si="2"/>
        <v>42976.153846153851</v>
      </c>
      <c r="Z14" s="937" t="s">
        <v>853</v>
      </c>
      <c r="AA14" s="1063">
        <f>R24</f>
        <v>54050</v>
      </c>
    </row>
    <row r="15" spans="1:28" ht="13.8" customHeight="1">
      <c r="B15" s="945" t="s">
        <v>801</v>
      </c>
      <c r="C15" s="1035"/>
      <c r="D15" s="939"/>
      <c r="E15" s="939"/>
      <c r="F15" s="1018"/>
      <c r="G15" s="1018">
        <v>10000</v>
      </c>
      <c r="H15" s="1019">
        <v>10000</v>
      </c>
      <c r="I15" s="940">
        <f t="shared" si="7"/>
        <v>20000</v>
      </c>
      <c r="J15" s="939"/>
      <c r="K15" s="946" t="s">
        <v>719</v>
      </c>
      <c r="L15" s="1052">
        <f>PROJECTIONS!F18</f>
        <v>48514</v>
      </c>
      <c r="M15" s="952">
        <f>PROJECTIONS!F34+14.5</f>
        <v>53700</v>
      </c>
      <c r="N15" s="952">
        <f>PROJECTIONS!F50+42</f>
        <v>61100</v>
      </c>
      <c r="O15" s="1018">
        <v>54000</v>
      </c>
      <c r="P15" s="1018">
        <v>54000</v>
      </c>
      <c r="Q15" s="1019">
        <v>54000</v>
      </c>
      <c r="R15" s="940">
        <f t="shared" si="2"/>
        <v>276800</v>
      </c>
      <c r="T15" s="937" t="s">
        <v>851</v>
      </c>
      <c r="U15" s="1063">
        <f>R15+R24+R8/3+R20/2</f>
        <v>397632.64122666669</v>
      </c>
    </row>
    <row r="16" spans="1:28">
      <c r="A16" s="937" t="s">
        <v>819</v>
      </c>
      <c r="B16" s="949" t="s">
        <v>93</v>
      </c>
      <c r="C16" s="1015">
        <f>SUM(C12:C15)</f>
        <v>25000</v>
      </c>
      <c r="D16" s="950">
        <f t="shared" ref="D16:H16" si="8">SUM(D12:D15)</f>
        <v>10000</v>
      </c>
      <c r="E16" s="950">
        <f t="shared" si="8"/>
        <v>30000</v>
      </c>
      <c r="F16" s="1015">
        <f t="shared" si="8"/>
        <v>30000</v>
      </c>
      <c r="G16" s="1015">
        <f t="shared" si="8"/>
        <v>10000</v>
      </c>
      <c r="H16" s="1022">
        <f t="shared" si="8"/>
        <v>10000</v>
      </c>
      <c r="I16" s="951">
        <f>SUM(D16:H16)</f>
        <v>90000</v>
      </c>
      <c r="J16" s="939"/>
      <c r="K16" s="949" t="s">
        <v>93</v>
      </c>
      <c r="L16" s="1027">
        <f t="shared" ref="L16:Q16" si="9">SUM(L5:L15)</f>
        <v>178364</v>
      </c>
      <c r="M16" s="955">
        <f t="shared" si="9"/>
        <v>205700</v>
      </c>
      <c r="N16" s="955">
        <f t="shared" si="9"/>
        <v>251880.00153846154</v>
      </c>
      <c r="O16" s="1027">
        <f t="shared" si="9"/>
        <v>238186.18461538464</v>
      </c>
      <c r="P16" s="1027">
        <f t="shared" si="9"/>
        <v>208773.41600000003</v>
      </c>
      <c r="Q16" s="1032">
        <f t="shared" si="9"/>
        <v>214445.03816615386</v>
      </c>
      <c r="R16" s="951">
        <f>SUM(M16:Q16)</f>
        <v>1118984.6403200002</v>
      </c>
      <c r="Z16" s="1056" t="s">
        <v>828</v>
      </c>
      <c r="AA16" s="1063">
        <f ca="1">R32-SUM(AA4:AA20)</f>
        <v>0</v>
      </c>
    </row>
    <row r="17" spans="1:29">
      <c r="B17" s="953"/>
      <c r="C17" s="1018"/>
      <c r="D17" s="939"/>
      <c r="E17" s="939"/>
      <c r="F17" s="1018"/>
      <c r="G17" s="1018"/>
      <c r="H17" s="1019"/>
      <c r="I17" s="940"/>
      <c r="J17" s="939"/>
      <c r="K17" s="938"/>
      <c r="L17" s="1018"/>
      <c r="M17" s="941"/>
      <c r="N17" s="939"/>
      <c r="O17" s="1018"/>
      <c r="P17" s="1018"/>
      <c r="Q17" s="1019"/>
      <c r="R17" s="940"/>
      <c r="T17" s="1056" t="s">
        <v>828</v>
      </c>
      <c r="U17" s="1063">
        <f>R32-SUM(U8:U16)</f>
        <v>0</v>
      </c>
    </row>
    <row r="18" spans="1:29">
      <c r="B18" s="942" t="s">
        <v>710</v>
      </c>
      <c r="C18" s="1020"/>
      <c r="D18" s="943"/>
      <c r="E18" s="965"/>
      <c r="F18" s="1018"/>
      <c r="G18" s="1018"/>
      <c r="H18" s="1019"/>
      <c r="I18" s="940"/>
      <c r="J18" s="939"/>
      <c r="K18" s="956" t="s">
        <v>5</v>
      </c>
      <c r="L18" s="1020"/>
      <c r="M18" s="941"/>
      <c r="N18" s="939"/>
      <c r="O18" s="1018"/>
      <c r="P18" s="1018"/>
      <c r="Q18" s="1019"/>
      <c r="R18" s="940"/>
      <c r="T18" s="937" t="s">
        <v>849</v>
      </c>
    </row>
    <row r="19" spans="1:29">
      <c r="B19" s="945" t="s">
        <v>802</v>
      </c>
      <c r="C19" s="1052">
        <f>PROJECTIONS!D18</f>
        <v>92350</v>
      </c>
      <c r="D19" s="957">
        <f>PROJECTIONS!D34</f>
        <v>99700</v>
      </c>
      <c r="E19" s="1058">
        <f>PROJECTIONS!D50</f>
        <v>113100</v>
      </c>
      <c r="F19" s="1018">
        <v>110000</v>
      </c>
      <c r="G19" s="1018">
        <v>110000</v>
      </c>
      <c r="H19" s="1019">
        <v>110000</v>
      </c>
      <c r="I19" s="940">
        <f>SUM(D19:H19)</f>
        <v>542800</v>
      </c>
      <c r="J19" s="943"/>
      <c r="K19" s="946" t="s">
        <v>722</v>
      </c>
      <c r="L19" s="1018">
        <v>3000</v>
      </c>
      <c r="M19" s="941">
        <v>3000</v>
      </c>
      <c r="N19" s="939">
        <v>3000</v>
      </c>
      <c r="O19" s="1018">
        <v>3000</v>
      </c>
      <c r="P19" s="1018">
        <v>3000</v>
      </c>
      <c r="Q19" s="1019">
        <v>3000</v>
      </c>
      <c r="R19" s="940">
        <f>SUM(M19:Q19)</f>
        <v>15000</v>
      </c>
    </row>
    <row r="20" spans="1:29">
      <c r="B20" s="1055" t="s">
        <v>803</v>
      </c>
      <c r="C20" s="1018">
        <v>1000</v>
      </c>
      <c r="D20" s="965">
        <v>1000</v>
      </c>
      <c r="E20" s="965">
        <v>1000</v>
      </c>
      <c r="F20" s="1018">
        <v>1000</v>
      </c>
      <c r="G20" s="1018">
        <v>1000</v>
      </c>
      <c r="H20" s="1019">
        <v>1000</v>
      </c>
      <c r="I20" s="940">
        <f t="shared" ref="I20:I21" si="10">SUM(D20:H20)</f>
        <v>5000</v>
      </c>
      <c r="J20" s="939"/>
      <c r="K20" s="947" t="s">
        <v>721</v>
      </c>
      <c r="L20" s="1018">
        <v>10000</v>
      </c>
      <c r="M20" s="948">
        <v>9000</v>
      </c>
      <c r="N20" s="939">
        <v>9770</v>
      </c>
      <c r="O20" s="1018">
        <v>11000</v>
      </c>
      <c r="P20" s="1018">
        <v>12000</v>
      </c>
      <c r="Q20" s="1019">
        <v>12000</v>
      </c>
      <c r="R20" s="940">
        <f t="shared" ref="R20:R29" si="11">SUM(M20:Q20)</f>
        <v>53770</v>
      </c>
    </row>
    <row r="21" spans="1:29">
      <c r="B21" s="1056" t="s">
        <v>804</v>
      </c>
      <c r="C21" s="1034">
        <v>250</v>
      </c>
      <c r="D21" s="1057">
        <v>250</v>
      </c>
      <c r="E21" s="1057">
        <v>250</v>
      </c>
      <c r="F21" s="1034">
        <v>250</v>
      </c>
      <c r="G21" s="1034">
        <v>250</v>
      </c>
      <c r="H21" s="1019">
        <v>250</v>
      </c>
      <c r="I21" s="940">
        <f t="shared" si="10"/>
        <v>1250</v>
      </c>
      <c r="J21" s="943"/>
      <c r="K21" s="947" t="s">
        <v>800</v>
      </c>
      <c r="L21" s="1018"/>
      <c r="M21" s="941"/>
      <c r="N21" s="939">
        <v>6000</v>
      </c>
      <c r="O21" s="1018">
        <v>6000</v>
      </c>
      <c r="P21" s="1018">
        <v>6000</v>
      </c>
      <c r="Q21" s="1019">
        <v>6000</v>
      </c>
      <c r="R21" s="940">
        <f t="shared" si="11"/>
        <v>24000</v>
      </c>
    </row>
    <row r="22" spans="1:29" ht="14.4" customHeight="1">
      <c r="A22" s="937" t="s">
        <v>673</v>
      </c>
      <c r="B22" s="949" t="s">
        <v>93</v>
      </c>
      <c r="C22" s="1015">
        <f>SUM(C19:C21)</f>
        <v>93600</v>
      </c>
      <c r="D22" s="950">
        <f>SUM(D19:D21)</f>
        <v>100950</v>
      </c>
      <c r="E22" s="950">
        <f t="shared" ref="E22:H22" si="12">SUM(E19:E21)</f>
        <v>114350</v>
      </c>
      <c r="F22" s="1015">
        <f t="shared" si="12"/>
        <v>111250</v>
      </c>
      <c r="G22" s="1015">
        <f t="shared" si="12"/>
        <v>111250</v>
      </c>
      <c r="H22" s="1022">
        <f t="shared" si="12"/>
        <v>111250</v>
      </c>
      <c r="I22" s="951">
        <f>SUM(D22:H22)</f>
        <v>549050</v>
      </c>
      <c r="K22" s="946" t="s">
        <v>723</v>
      </c>
      <c r="L22" s="1018">
        <v>4000</v>
      </c>
      <c r="M22" s="941">
        <v>4000</v>
      </c>
      <c r="N22" s="939">
        <v>4000</v>
      </c>
      <c r="O22" s="1018">
        <v>4000</v>
      </c>
      <c r="P22" s="1018">
        <v>4000</v>
      </c>
      <c r="Q22" s="1019">
        <v>4000</v>
      </c>
      <c r="R22" s="940">
        <f t="shared" si="11"/>
        <v>20000</v>
      </c>
    </row>
    <row r="23" spans="1:29">
      <c r="B23" s="949"/>
      <c r="C23" s="1037"/>
      <c r="D23" s="943"/>
      <c r="E23" s="943"/>
      <c r="F23" s="1020"/>
      <c r="G23" s="1020"/>
      <c r="H23" s="1021"/>
      <c r="I23" s="944"/>
      <c r="J23" s="939"/>
      <c r="K23" s="946" t="s">
        <v>724</v>
      </c>
      <c r="L23" s="1018">
        <v>2500</v>
      </c>
      <c r="M23" s="941">
        <v>2550</v>
      </c>
      <c r="N23" s="939">
        <v>2550</v>
      </c>
      <c r="O23" s="1018">
        <v>3000</v>
      </c>
      <c r="P23" s="1018">
        <v>3000</v>
      </c>
      <c r="Q23" s="1019">
        <v>3000</v>
      </c>
      <c r="R23" s="940">
        <f t="shared" si="11"/>
        <v>14100</v>
      </c>
    </row>
    <row r="24" spans="1:29" ht="14.4" customHeight="1">
      <c r="B24" s="949"/>
      <c r="C24" s="1037"/>
      <c r="D24" s="943"/>
      <c r="E24" s="943"/>
      <c r="F24" s="1020"/>
      <c r="G24" s="1020"/>
      <c r="H24" s="1021"/>
      <c r="I24" s="944"/>
      <c r="J24" s="939"/>
      <c r="K24" s="946" t="s">
        <v>763</v>
      </c>
      <c r="L24" s="1052">
        <f>PROJECTIONS!E18</f>
        <v>12425</v>
      </c>
      <c r="M24" s="952">
        <f>PROJECTIONS!E34</f>
        <v>10500</v>
      </c>
      <c r="N24" s="957">
        <f>PROJECTIONS!E50</f>
        <v>10550</v>
      </c>
      <c r="O24" s="1035">
        <v>11000</v>
      </c>
      <c r="P24" s="1035">
        <v>11000</v>
      </c>
      <c r="Q24" s="1019">
        <v>11000</v>
      </c>
      <c r="R24" s="940">
        <f t="shared" si="11"/>
        <v>54050</v>
      </c>
    </row>
    <row r="25" spans="1:29">
      <c r="B25" s="949"/>
      <c r="C25" s="1037"/>
      <c r="D25" s="943"/>
      <c r="E25" s="943"/>
      <c r="F25" s="1020"/>
      <c r="G25" s="1020"/>
      <c r="H25" s="1021"/>
      <c r="I25" s="944"/>
      <c r="J25" s="939"/>
      <c r="K25" s="946" t="s">
        <v>813</v>
      </c>
      <c r="L25" s="1035">
        <v>22000</v>
      </c>
      <c r="M25" s="1035"/>
      <c r="N25" s="1035"/>
      <c r="O25" s="1035"/>
      <c r="P25" s="1035"/>
      <c r="Q25" s="1019"/>
      <c r="R25" s="940">
        <f t="shared" si="11"/>
        <v>0</v>
      </c>
    </row>
    <row r="26" spans="1:29" ht="13.2" customHeight="1">
      <c r="B26" s="949"/>
      <c r="C26" s="1037"/>
      <c r="D26" s="943"/>
      <c r="E26" s="943"/>
      <c r="F26" s="1020"/>
      <c r="G26" s="1020"/>
      <c r="H26" s="1021"/>
      <c r="I26" s="944"/>
      <c r="J26" s="943"/>
      <c r="K26" s="946" t="s">
        <v>807</v>
      </c>
      <c r="L26" s="1035">
        <v>2311</v>
      </c>
      <c r="M26" s="1035"/>
      <c r="N26" s="1035"/>
      <c r="O26" s="1035"/>
      <c r="P26" s="1035"/>
      <c r="Q26" s="1019"/>
      <c r="R26" s="940">
        <f t="shared" si="11"/>
        <v>0</v>
      </c>
    </row>
    <row r="27" spans="1:29">
      <c r="B27" s="949"/>
      <c r="C27" s="1037"/>
      <c r="D27" s="943"/>
      <c r="E27" s="943"/>
      <c r="F27" s="1020"/>
      <c r="G27" s="1020"/>
      <c r="H27" s="1021"/>
      <c r="I27" s="944"/>
      <c r="J27" s="939"/>
      <c r="K27" s="946" t="s">
        <v>799</v>
      </c>
      <c r="L27" s="1035"/>
      <c r="M27" s="1035">
        <v>4000</v>
      </c>
      <c r="N27" s="1052">
        <f>Métiers!J207-'Budget simplifié'!M27</f>
        <v>15000</v>
      </c>
      <c r="O27" s="1035"/>
      <c r="P27" s="1035"/>
      <c r="Q27" s="1019"/>
      <c r="R27" s="940">
        <f t="shared" si="11"/>
        <v>19000</v>
      </c>
    </row>
    <row r="28" spans="1:29">
      <c r="B28" s="949"/>
      <c r="C28" s="1037"/>
      <c r="D28" s="943"/>
      <c r="E28" s="943"/>
      <c r="F28" s="1020"/>
      <c r="G28" s="1020"/>
      <c r="H28" s="1021"/>
      <c r="I28" s="944"/>
      <c r="J28" s="943"/>
      <c r="K28" s="946" t="s">
        <v>798</v>
      </c>
      <c r="L28" s="1035"/>
      <c r="M28" s="1035"/>
      <c r="N28" s="1035">
        <v>6000</v>
      </c>
      <c r="O28" s="1052">
        <f>GIEC!J207-'Budget simplifié'!N28</f>
        <v>27000</v>
      </c>
      <c r="P28" s="1035"/>
      <c r="Q28" s="1019"/>
      <c r="R28" s="940">
        <f t="shared" si="11"/>
        <v>33000</v>
      </c>
    </row>
    <row r="29" spans="1:29">
      <c r="B29" s="949"/>
      <c r="C29" s="1037"/>
      <c r="D29" s="943"/>
      <c r="E29" s="943"/>
      <c r="F29" s="1020"/>
      <c r="G29" s="1020"/>
      <c r="H29" s="1021"/>
      <c r="I29" s="944"/>
      <c r="J29" s="943"/>
      <c r="K29" s="946" t="s">
        <v>797</v>
      </c>
      <c r="L29" s="1035"/>
      <c r="M29" s="1035"/>
      <c r="N29" s="1035"/>
      <c r="P29" s="1035">
        <v>3000</v>
      </c>
      <c r="Q29" s="1023">
        <f>'22 histoires au coin de la rue'!J208-'Budget simplifié'!P29</f>
        <v>14050</v>
      </c>
      <c r="R29" s="940">
        <f t="shared" si="11"/>
        <v>17050</v>
      </c>
    </row>
    <row r="30" spans="1:29">
      <c r="B30" s="949"/>
      <c r="C30" s="1037"/>
      <c r="D30" s="943"/>
      <c r="E30" s="943"/>
      <c r="F30" s="1020"/>
      <c r="G30" s="1020"/>
      <c r="H30" s="1021"/>
      <c r="I30" s="944"/>
      <c r="K30" s="949" t="s">
        <v>93</v>
      </c>
      <c r="L30" s="1027">
        <f t="shared" ref="L30:Q30" si="13">SUM(L19:L29)</f>
        <v>56236</v>
      </c>
      <c r="M30" s="955">
        <f t="shared" si="13"/>
        <v>33050</v>
      </c>
      <c r="N30" s="955">
        <f t="shared" si="13"/>
        <v>56870</v>
      </c>
      <c r="O30" s="1027">
        <f t="shared" si="13"/>
        <v>65000</v>
      </c>
      <c r="P30" s="1027">
        <f t="shared" si="13"/>
        <v>42000</v>
      </c>
      <c r="Q30" s="1032">
        <f t="shared" si="13"/>
        <v>53050</v>
      </c>
      <c r="R30" s="951">
        <f>SUM(M30:Q30)</f>
        <v>249970</v>
      </c>
    </row>
    <row r="31" spans="1:29" ht="13.8" thickBot="1">
      <c r="B31" s="949"/>
      <c r="C31" s="1037"/>
      <c r="D31" s="949"/>
      <c r="E31" s="943"/>
      <c r="F31" s="1020"/>
      <c r="G31" s="1020"/>
      <c r="H31" s="1021"/>
      <c r="I31" s="944"/>
      <c r="K31" s="938"/>
      <c r="L31" s="1018"/>
      <c r="M31" s="941"/>
      <c r="N31" s="939"/>
      <c r="O31" s="1018"/>
      <c r="P31" s="1018"/>
      <c r="Q31" s="1019"/>
      <c r="R31" s="944"/>
      <c r="AC31" s="964"/>
    </row>
    <row r="32" spans="1:29" ht="13.8" thickBot="1">
      <c r="B32" s="959" t="s">
        <v>707</v>
      </c>
      <c r="C32" s="1016">
        <f t="shared" ref="C32:H32" si="14">C9+C16+C22</f>
        <v>234600</v>
      </c>
      <c r="D32" s="960">
        <f t="shared" si="14"/>
        <v>257050</v>
      </c>
      <c r="E32" s="960">
        <f t="shared" si="14"/>
        <v>290450</v>
      </c>
      <c r="F32" s="1016">
        <f t="shared" si="14"/>
        <v>287350</v>
      </c>
      <c r="G32" s="1016">
        <f t="shared" si="14"/>
        <v>267350</v>
      </c>
      <c r="H32" s="1024">
        <f t="shared" si="14"/>
        <v>267350</v>
      </c>
      <c r="I32" s="1121">
        <f>SUM(D32:H32)</f>
        <v>1369550</v>
      </c>
      <c r="K32" s="962" t="s">
        <v>112</v>
      </c>
      <c r="L32" s="1016">
        <f t="shared" ref="L32:Q32" si="15">L16+L30</f>
        <v>234600</v>
      </c>
      <c r="M32" s="960">
        <f t="shared" si="15"/>
        <v>238750</v>
      </c>
      <c r="N32" s="960">
        <f t="shared" si="15"/>
        <v>308750.00153846154</v>
      </c>
      <c r="O32" s="1016">
        <f t="shared" si="15"/>
        <v>303186.18461538467</v>
      </c>
      <c r="P32" s="1016">
        <f t="shared" si="15"/>
        <v>250773.41600000003</v>
      </c>
      <c r="Q32" s="1024">
        <f t="shared" si="15"/>
        <v>267495.03816615383</v>
      </c>
      <c r="R32" s="961">
        <f>SUM(M32:Q32)</f>
        <v>1368954.6403200002</v>
      </c>
      <c r="AC32" s="964"/>
    </row>
    <row r="33" spans="2:33" ht="13.8" thickBot="1">
      <c r="B33" s="949"/>
      <c r="C33" s="1037"/>
      <c r="D33" s="971"/>
      <c r="E33" s="971"/>
      <c r="F33" s="1025"/>
      <c r="G33" s="1025"/>
      <c r="H33" s="1025"/>
      <c r="I33" s="943"/>
      <c r="K33" s="938"/>
      <c r="L33" s="1018"/>
      <c r="M33" s="941"/>
      <c r="N33" s="939"/>
      <c r="O33" s="1018"/>
      <c r="P33" s="1018"/>
      <c r="Q33" s="1018"/>
      <c r="R33" s="939"/>
      <c r="AC33" s="964"/>
    </row>
    <row r="34" spans="2:33" ht="13.8" thickBot="1">
      <c r="B34" s="962" t="s">
        <v>810</v>
      </c>
      <c r="C34" s="1016">
        <f>L32</f>
        <v>234600</v>
      </c>
      <c r="D34" s="960">
        <f t="shared" ref="D34:H34" si="16">M32</f>
        <v>238750</v>
      </c>
      <c r="E34" s="960">
        <f t="shared" si="16"/>
        <v>308750.00153846154</v>
      </c>
      <c r="F34" s="1016">
        <f t="shared" si="16"/>
        <v>303186.18461538467</v>
      </c>
      <c r="G34" s="1016">
        <f t="shared" si="16"/>
        <v>250773.41600000003</v>
      </c>
      <c r="H34" s="1024">
        <f t="shared" si="16"/>
        <v>267495.03816615383</v>
      </c>
      <c r="I34" s="943"/>
      <c r="K34" s="1073" t="s">
        <v>832</v>
      </c>
      <c r="O34" s="1018"/>
      <c r="P34" s="1018"/>
      <c r="Q34" s="1018"/>
      <c r="R34" s="943"/>
      <c r="AC34" s="964"/>
    </row>
    <row r="35" spans="2:33" ht="13.8" thickBot="1">
      <c r="B35" s="938"/>
      <c r="C35" s="1018"/>
      <c r="D35" s="938"/>
      <c r="E35" s="939"/>
      <c r="F35" s="1018"/>
      <c r="G35" s="1018"/>
      <c r="H35" s="1018"/>
      <c r="I35" s="939"/>
      <c r="M35" s="1119">
        <v>2024</v>
      </c>
      <c r="N35" s="1119">
        <v>2025</v>
      </c>
      <c r="O35" s="1018"/>
      <c r="Q35" s="1018"/>
      <c r="R35" s="1122" t="s">
        <v>847</v>
      </c>
      <c r="AC35" s="964"/>
    </row>
    <row r="36" spans="2:33" ht="16.2" thickBot="1">
      <c r="B36" s="962" t="s">
        <v>708</v>
      </c>
      <c r="C36" s="1038">
        <f t="shared" ref="C36:H36" si="17">C32-L32</f>
        <v>0</v>
      </c>
      <c r="D36" s="963">
        <f t="shared" si="17"/>
        <v>18300</v>
      </c>
      <c r="E36" s="963">
        <f t="shared" si="17"/>
        <v>-18300.00153846154</v>
      </c>
      <c r="F36" s="1017">
        <f t="shared" si="17"/>
        <v>-15836.184615384671</v>
      </c>
      <c r="G36" s="1017">
        <f t="shared" si="17"/>
        <v>16576.583999999973</v>
      </c>
      <c r="H36" s="1026">
        <f t="shared" si="17"/>
        <v>-145.03816615382675</v>
      </c>
      <c r="I36" s="938"/>
      <c r="K36" s="1064" t="s">
        <v>821</v>
      </c>
      <c r="L36" s="1065"/>
      <c r="M36" s="1066">
        <f>M19</f>
        <v>3000</v>
      </c>
      <c r="N36" s="1066">
        <f>N19</f>
        <v>3000</v>
      </c>
      <c r="O36" s="1033"/>
      <c r="Q36" s="1033"/>
      <c r="R36" s="1066">
        <f>R19</f>
        <v>15000</v>
      </c>
      <c r="AC36" s="964"/>
    </row>
    <row r="37" spans="2:33" ht="13.8" thickBot="1">
      <c r="B37" s="938"/>
      <c r="C37" s="1018"/>
      <c r="D37" s="938"/>
      <c r="E37" s="939"/>
      <c r="F37" s="1018"/>
      <c r="G37" s="1018"/>
      <c r="H37" s="1018"/>
      <c r="I37" s="939"/>
      <c r="K37" s="1064" t="s">
        <v>829</v>
      </c>
      <c r="L37" s="1065"/>
      <c r="M37" s="1066">
        <f>M22+M21</f>
        <v>4000</v>
      </c>
      <c r="N37" s="1066">
        <f>N22+N21</f>
        <v>10000</v>
      </c>
      <c r="R37" s="1066">
        <f>R21+R22</f>
        <v>44000</v>
      </c>
      <c r="AC37" s="964"/>
    </row>
    <row r="38" spans="2:33" ht="16.2" thickBot="1">
      <c r="B38" s="966" t="s">
        <v>709</v>
      </c>
      <c r="C38" s="1039">
        <f>C36</f>
        <v>0</v>
      </c>
      <c r="D38" s="967">
        <f>C38+D36</f>
        <v>18300</v>
      </c>
      <c r="E38" s="967">
        <f>D38+E36</f>
        <v>-1.5384615398943424E-3</v>
      </c>
      <c r="F38" s="967">
        <f>E38+F36</f>
        <v>-15836.186153846211</v>
      </c>
      <c r="G38" s="967">
        <f t="shared" ref="G38:H38" si="18">F38+G36</f>
        <v>740.39784615376266</v>
      </c>
      <c r="H38" s="968">
        <f t="shared" si="18"/>
        <v>595.35967999993591</v>
      </c>
      <c r="I38" s="969"/>
      <c r="K38" s="1064" t="s">
        <v>822</v>
      </c>
      <c r="L38" s="1065"/>
      <c r="M38" s="1066">
        <f>M20+M24+M28+M27+M23</f>
        <v>26050</v>
      </c>
      <c r="N38" s="1066">
        <f>N20+N24+N28+N27+N23</f>
        <v>43870</v>
      </c>
      <c r="R38" s="1066">
        <f>R20+R23+R24+R27+R28+R29</f>
        <v>190970</v>
      </c>
      <c r="AC38" s="964"/>
    </row>
    <row r="39" spans="2:33">
      <c r="K39" s="1070" t="s">
        <v>825</v>
      </c>
      <c r="L39" s="1071"/>
      <c r="M39" s="1072">
        <f>M6</f>
        <v>26000</v>
      </c>
      <c r="N39" s="1072">
        <f>N6</f>
        <v>26520</v>
      </c>
      <c r="R39" s="1072">
        <f>R6</f>
        <v>135305.04415999999</v>
      </c>
      <c r="AC39" s="964"/>
    </row>
    <row r="40" spans="2:33">
      <c r="K40" s="1070" t="s">
        <v>823</v>
      </c>
      <c r="L40" s="1071"/>
      <c r="M40" s="1072">
        <f>M8</f>
        <v>23000</v>
      </c>
      <c r="N40" s="1072">
        <f>N8</f>
        <v>23460</v>
      </c>
      <c r="R40" s="1072">
        <f t="shared" ref="R40" si="19">R8</f>
        <v>119692.92367999999</v>
      </c>
      <c r="AC40" s="964"/>
    </row>
    <row r="41" spans="2:33">
      <c r="K41" s="1070" t="s">
        <v>824</v>
      </c>
      <c r="L41" s="1071"/>
      <c r="M41" s="1072">
        <f>M7/2</f>
        <v>26000</v>
      </c>
      <c r="N41" s="1072">
        <f>N7/2</f>
        <v>26520</v>
      </c>
      <c r="R41" s="1072">
        <f t="shared" ref="R41" si="20">R7/2</f>
        <v>135305.04415999999</v>
      </c>
      <c r="AC41" s="964"/>
    </row>
    <row r="42" spans="2:33">
      <c r="K42" s="1067" t="s">
        <v>826</v>
      </c>
      <c r="L42" s="1068"/>
      <c r="M42" s="1069">
        <f>M15+M12+M5+M13</f>
        <v>104700</v>
      </c>
      <c r="N42" s="1069">
        <f>N15+N12+N5+N13</f>
        <v>148860.00153846154</v>
      </c>
      <c r="R42" s="1069">
        <f t="shared" ref="R42" si="21">R15+R12+R5+R13</f>
        <v>550400.4303138461</v>
      </c>
      <c r="AC42" s="964"/>
    </row>
    <row r="43" spans="2:33">
      <c r="K43" s="1067" t="s">
        <v>827</v>
      </c>
      <c r="L43" s="1068"/>
      <c r="M43" s="1069">
        <f>M7/2</f>
        <v>26000</v>
      </c>
      <c r="N43" s="1069">
        <f>N7/2</f>
        <v>26520</v>
      </c>
      <c r="R43" s="1069">
        <f t="shared" ref="R43" si="22">R7/2</f>
        <v>135305.04415999999</v>
      </c>
      <c r="AC43" s="964"/>
    </row>
    <row r="44" spans="2:33">
      <c r="M44" s="1063">
        <f>SUM(M36:M43)-M32</f>
        <v>0</v>
      </c>
      <c r="N44" s="1063">
        <f>SUM(N36:N43)-N32</f>
        <v>0</v>
      </c>
      <c r="AC44" s="964"/>
    </row>
    <row r="45" spans="2:33">
      <c r="AC45" s="964"/>
    </row>
    <row r="46" spans="2:33">
      <c r="K46" s="937" t="s">
        <v>828</v>
      </c>
      <c r="M46" s="1063">
        <f>M32-SUM(M36:M43)</f>
        <v>0</v>
      </c>
      <c r="N46" s="1063">
        <f>N32-SUM(N36:N43)</f>
        <v>0</v>
      </c>
      <c r="AC46" s="964"/>
    </row>
    <row r="47" spans="2:33">
      <c r="AC47" s="964"/>
    </row>
    <row r="48" spans="2:33">
      <c r="AF48" s="1218"/>
      <c r="AG48" s="1218"/>
    </row>
    <row r="51" ht="14.4" customHeight="1"/>
  </sheetData>
  <mergeCells count="1">
    <mergeCell ref="AF48:AG48"/>
  </mergeCells>
  <phoneticPr fontId="73" type="noConversion"/>
  <conditionalFormatting sqref="M46:N46">
    <cfRule type="cellIs" dxfId="35" priority="2" operator="notEqual">
      <formula>0</formula>
    </cfRule>
  </conditionalFormatting>
  <conditionalFormatting sqref="B36:H38">
    <cfRule type="cellIs" dxfId="34" priority="1" operator="lessThan">
      <formula>-0.009</formula>
    </cfRule>
  </conditionalFormatting>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44F79-80D2-4198-870F-40597D3693A6}">
  <sheetPr>
    <tabColor theme="6"/>
  </sheetPr>
  <dimension ref="A1:S71"/>
  <sheetViews>
    <sheetView topLeftCell="A16" workbookViewId="0"/>
    <sheetView workbookViewId="1"/>
  </sheetViews>
  <sheetFormatPr baseColWidth="10" defaultRowHeight="13.2"/>
  <sheetData>
    <row r="1" spans="1:10" ht="28.8" customHeight="1">
      <c r="A1" s="937"/>
      <c r="B1" s="1221" t="s">
        <v>751</v>
      </c>
      <c r="C1" s="1223"/>
      <c r="D1" s="1223"/>
      <c r="E1" s="1223"/>
      <c r="F1" s="1223"/>
      <c r="G1" s="1223"/>
      <c r="H1" s="1223"/>
      <c r="I1" s="1223"/>
      <c r="J1" s="1222"/>
    </row>
    <row r="2" spans="1:10" ht="43.2">
      <c r="A2" s="923" t="s">
        <v>759</v>
      </c>
      <c r="B2" s="922" t="s">
        <v>725</v>
      </c>
      <c r="C2" s="1013"/>
      <c r="D2" s="923" t="s">
        <v>726</v>
      </c>
      <c r="E2" s="923" t="s">
        <v>774</v>
      </c>
      <c r="F2" s="923" t="s">
        <v>758</v>
      </c>
      <c r="G2" s="928" t="s">
        <v>753</v>
      </c>
      <c r="H2" s="928" t="s">
        <v>754</v>
      </c>
      <c r="I2" s="928" t="s">
        <v>755</v>
      </c>
      <c r="J2" s="928" t="s">
        <v>750</v>
      </c>
    </row>
    <row r="3" spans="1:10" ht="14.4">
      <c r="A3" s="936">
        <v>3</v>
      </c>
      <c r="B3" s="925" t="s">
        <v>730</v>
      </c>
      <c r="C3" s="926"/>
      <c r="D3" s="931">
        <f>11+A3</f>
        <v>14</v>
      </c>
      <c r="E3" s="931">
        <f>16+A3</f>
        <v>19</v>
      </c>
      <c r="F3" s="931">
        <f>30+A3*3</f>
        <v>39</v>
      </c>
      <c r="G3" s="932">
        <f>14100+A3*800</f>
        <v>16500</v>
      </c>
      <c r="H3" s="932">
        <f>9585.42+A3*'BAREMES UTILISES'!C15</f>
        <v>11196.42</v>
      </c>
      <c r="I3" s="932"/>
      <c r="J3" s="932">
        <f t="shared" ref="J3:J16" si="0">G3-H3-I3</f>
        <v>5303.58</v>
      </c>
    </row>
    <row r="4" spans="1:10" ht="14.4">
      <c r="A4" s="936"/>
      <c r="B4" s="925" t="s">
        <v>731</v>
      </c>
      <c r="C4" s="926"/>
      <c r="D4" s="931">
        <v>0</v>
      </c>
      <c r="E4" s="931">
        <v>0</v>
      </c>
      <c r="F4" s="931">
        <v>0</v>
      </c>
      <c r="G4" s="932">
        <v>0</v>
      </c>
      <c r="H4" s="932">
        <v>0</v>
      </c>
      <c r="I4" s="932"/>
      <c r="J4" s="932">
        <f t="shared" si="0"/>
        <v>0</v>
      </c>
    </row>
    <row r="5" spans="1:10" ht="14.4">
      <c r="A5" s="936"/>
      <c r="B5" s="925" t="s">
        <v>732</v>
      </c>
      <c r="C5" s="926"/>
      <c r="D5" s="931">
        <v>2</v>
      </c>
      <c r="E5" s="931">
        <v>3</v>
      </c>
      <c r="F5" s="931">
        <v>3</v>
      </c>
      <c r="G5" s="932">
        <v>14500</v>
      </c>
      <c r="H5" s="932">
        <v>13086.880000000001</v>
      </c>
      <c r="I5" s="932">
        <v>2418.46</v>
      </c>
      <c r="J5" s="932">
        <f t="shared" si="0"/>
        <v>-1005.3400000000011</v>
      </c>
    </row>
    <row r="6" spans="1:10" ht="14.4">
      <c r="A6" s="936">
        <v>1</v>
      </c>
      <c r="B6" s="925" t="s">
        <v>733</v>
      </c>
      <c r="C6" s="926"/>
      <c r="D6" s="931">
        <f>1+A6</f>
        <v>2</v>
      </c>
      <c r="E6" s="931">
        <f>1+A6</f>
        <v>2</v>
      </c>
      <c r="F6" s="931">
        <f>2+2*A6</f>
        <v>4</v>
      </c>
      <c r="G6" s="932">
        <f>800+A6*800</f>
        <v>1600</v>
      </c>
      <c r="H6" s="932">
        <f>473.09+A6*'BAREMES UTILISES'!C15</f>
        <v>1010.0899999999999</v>
      </c>
      <c r="I6" s="932"/>
      <c r="J6" s="932">
        <f t="shared" si="0"/>
        <v>589.91000000000008</v>
      </c>
    </row>
    <row r="7" spans="1:10" ht="14.4">
      <c r="A7" s="936"/>
      <c r="B7" s="925" t="s">
        <v>734</v>
      </c>
      <c r="C7" s="926"/>
      <c r="D7" s="931">
        <v>0</v>
      </c>
      <c r="E7" s="931">
        <v>0</v>
      </c>
      <c r="F7" s="931">
        <v>0</v>
      </c>
      <c r="G7" s="932">
        <v>0</v>
      </c>
      <c r="H7" s="932">
        <v>0</v>
      </c>
      <c r="I7" s="932"/>
      <c r="J7" s="932">
        <f t="shared" si="0"/>
        <v>0</v>
      </c>
    </row>
    <row r="8" spans="1:10" ht="14.4">
      <c r="A8" s="936">
        <v>2</v>
      </c>
      <c r="B8" s="925" t="s">
        <v>735</v>
      </c>
      <c r="C8" s="926"/>
      <c r="D8" s="931">
        <f>6+A8</f>
        <v>8</v>
      </c>
      <c r="E8" s="931">
        <f>6+A8</f>
        <v>8</v>
      </c>
      <c r="F8" s="931">
        <f>7+A8*2</f>
        <v>11</v>
      </c>
      <c r="G8" s="932">
        <f>5200+A8*800</f>
        <v>6800</v>
      </c>
      <c r="H8" s="932">
        <f>3236.17+A8*'BAREMES UTILISES'!C15</f>
        <v>4310.17</v>
      </c>
      <c r="I8" s="932"/>
      <c r="J8" s="932">
        <f t="shared" si="0"/>
        <v>2489.83</v>
      </c>
    </row>
    <row r="9" spans="1:10" ht="14.4">
      <c r="A9" s="936"/>
      <c r="B9" s="925" t="s">
        <v>736</v>
      </c>
      <c r="C9" s="926"/>
      <c r="D9" s="931">
        <v>1</v>
      </c>
      <c r="E9" s="931">
        <v>1</v>
      </c>
      <c r="F9" s="931">
        <v>2</v>
      </c>
      <c r="G9" s="932">
        <v>900</v>
      </c>
      <c r="H9" s="932">
        <v>489.59</v>
      </c>
      <c r="I9" s="932"/>
      <c r="J9" s="932">
        <f t="shared" si="0"/>
        <v>410.41</v>
      </c>
    </row>
    <row r="10" spans="1:10" ht="14.4">
      <c r="A10" s="936"/>
      <c r="B10" s="925" t="s">
        <v>757</v>
      </c>
      <c r="C10" s="926"/>
      <c r="D10" s="931">
        <v>0</v>
      </c>
      <c r="E10" s="931">
        <v>0</v>
      </c>
      <c r="F10" s="931">
        <v>0</v>
      </c>
      <c r="G10" s="932">
        <v>0</v>
      </c>
      <c r="H10" s="932">
        <v>0</v>
      </c>
      <c r="I10" s="932"/>
      <c r="J10" s="932">
        <f t="shared" si="0"/>
        <v>0</v>
      </c>
    </row>
    <row r="11" spans="1:10" ht="14.4">
      <c r="A11" s="936"/>
      <c r="B11" s="925" t="s">
        <v>713</v>
      </c>
      <c r="C11" s="926"/>
      <c r="D11" s="931">
        <v>8</v>
      </c>
      <c r="E11" s="931">
        <v>11</v>
      </c>
      <c r="F11" s="931">
        <v>24</v>
      </c>
      <c r="G11" s="932">
        <v>15700</v>
      </c>
      <c r="H11" s="932">
        <v>7336.8399999999992</v>
      </c>
      <c r="I11" s="932">
        <v>3500</v>
      </c>
      <c r="J11" s="932">
        <f t="shared" si="0"/>
        <v>4863.16</v>
      </c>
    </row>
    <row r="12" spans="1:10" ht="14.4">
      <c r="A12" s="936"/>
      <c r="B12" s="925" t="s">
        <v>738</v>
      </c>
      <c r="C12" s="926"/>
      <c r="D12" s="931">
        <v>0</v>
      </c>
      <c r="E12" s="931">
        <v>0</v>
      </c>
      <c r="F12" s="931">
        <v>0</v>
      </c>
      <c r="G12" s="932">
        <v>0</v>
      </c>
      <c r="H12" s="932">
        <v>0</v>
      </c>
      <c r="I12" s="932"/>
      <c r="J12" s="932">
        <f t="shared" si="0"/>
        <v>0</v>
      </c>
    </row>
    <row r="13" spans="1:10" ht="14.4">
      <c r="A13" s="936"/>
      <c r="B13" s="925" t="s">
        <v>739</v>
      </c>
      <c r="C13" s="926"/>
      <c r="D13" s="931">
        <v>1</v>
      </c>
      <c r="E13" s="931">
        <v>1</v>
      </c>
      <c r="F13" s="931">
        <v>0</v>
      </c>
      <c r="G13" s="934">
        <v>534</v>
      </c>
      <c r="H13" s="934">
        <v>0</v>
      </c>
      <c r="I13" s="932"/>
      <c r="J13" s="932">
        <f t="shared" si="0"/>
        <v>534</v>
      </c>
    </row>
    <row r="14" spans="1:10" ht="14.4">
      <c r="A14" s="936">
        <v>2</v>
      </c>
      <c r="B14" s="925" t="s">
        <v>740</v>
      </c>
      <c r="C14" s="926"/>
      <c r="D14" s="931">
        <f>A14</f>
        <v>2</v>
      </c>
      <c r="E14" s="931">
        <f>0+A14</f>
        <v>2</v>
      </c>
      <c r="F14" s="931">
        <v>0</v>
      </c>
      <c r="G14" s="934">
        <v>1600</v>
      </c>
      <c r="H14" s="934">
        <f>D14*'BAREMES UTILISES'!C16</f>
        <v>1250</v>
      </c>
      <c r="I14" s="932"/>
      <c r="J14" s="932">
        <f t="shared" si="0"/>
        <v>350</v>
      </c>
    </row>
    <row r="15" spans="1:10" ht="14.4">
      <c r="A15" s="936"/>
      <c r="B15" s="925" t="s">
        <v>742</v>
      </c>
      <c r="C15" s="926"/>
      <c r="D15" s="931">
        <v>7</v>
      </c>
      <c r="E15" s="931">
        <v>7</v>
      </c>
      <c r="F15" s="931">
        <v>15</v>
      </c>
      <c r="G15" s="932">
        <v>9300</v>
      </c>
      <c r="H15" s="932">
        <v>6347.2200000000012</v>
      </c>
      <c r="I15" s="932"/>
      <c r="J15" s="932">
        <f t="shared" si="0"/>
        <v>2952.7799999999988</v>
      </c>
    </row>
    <row r="16" spans="1:10" ht="14.4">
      <c r="A16" s="936">
        <v>1</v>
      </c>
      <c r="B16" s="925" t="s">
        <v>741</v>
      </c>
      <c r="C16" s="926"/>
      <c r="D16" s="931">
        <f>2+A16</f>
        <v>3</v>
      </c>
      <c r="E16" s="931">
        <f>3+A16</f>
        <v>4</v>
      </c>
      <c r="F16" s="931">
        <v>6</v>
      </c>
      <c r="G16" s="932">
        <f>3400+A16*900</f>
        <v>4300</v>
      </c>
      <c r="H16" s="932">
        <f>2731.72+A16*'BAREMES UTILISES'!C15</f>
        <v>3268.72</v>
      </c>
      <c r="I16" s="932"/>
      <c r="J16" s="932">
        <f t="shared" si="0"/>
        <v>1031.2800000000002</v>
      </c>
    </row>
    <row r="17" spans="1:14" ht="14.4">
      <c r="A17" s="929">
        <f>SUM(A3:A16)</f>
        <v>9</v>
      </c>
      <c r="B17" s="1011" t="s">
        <v>744</v>
      </c>
      <c r="C17" s="1012"/>
      <c r="D17" s="929">
        <f>SUM(D3:D16)</f>
        <v>48</v>
      </c>
      <c r="E17" s="929">
        <f>SUM(E3:E16)</f>
        <v>58</v>
      </c>
      <c r="F17" s="929">
        <f>SUM(F3:F16)</f>
        <v>104</v>
      </c>
      <c r="G17" s="930">
        <v>64434</v>
      </c>
      <c r="H17" s="930">
        <v>43286.93</v>
      </c>
      <c r="I17" s="930">
        <v>5918.46</v>
      </c>
      <c r="J17" s="930">
        <v>15228.609999999997</v>
      </c>
      <c r="L17" s="1074">
        <f>62934-G17</f>
        <v>-1500</v>
      </c>
    </row>
    <row r="19" spans="1:14" ht="28.8" customHeight="1">
      <c r="A19" s="1221" t="s">
        <v>752</v>
      </c>
      <c r="B19" s="1223"/>
      <c r="C19" s="1223"/>
      <c r="D19" s="1223"/>
      <c r="E19" s="1223"/>
      <c r="F19" s="1223"/>
      <c r="G19" s="1223"/>
      <c r="H19" s="1223"/>
      <c r="I19" s="1223"/>
      <c r="J19" s="1222"/>
    </row>
    <row r="20" spans="1:14" ht="43.2">
      <c r="A20" s="1221" t="s">
        <v>725</v>
      </c>
      <c r="B20" s="1222"/>
      <c r="C20" s="923" t="s">
        <v>726</v>
      </c>
      <c r="D20" s="923" t="s">
        <v>774</v>
      </c>
      <c r="E20" s="923" t="s">
        <v>758</v>
      </c>
      <c r="F20" s="923" t="s">
        <v>771</v>
      </c>
      <c r="G20" s="928" t="s">
        <v>753</v>
      </c>
      <c r="H20" s="928" t="s">
        <v>754</v>
      </c>
      <c r="I20" s="928" t="s">
        <v>755</v>
      </c>
      <c r="J20" s="928" t="s">
        <v>750</v>
      </c>
    </row>
    <row r="21" spans="1:14" ht="14.4">
      <c r="A21" s="1219" t="s">
        <v>730</v>
      </c>
      <c r="B21" s="1220"/>
      <c r="C21" s="931">
        <v>20</v>
      </c>
      <c r="D21" s="931">
        <v>36</v>
      </c>
      <c r="E21" s="931">
        <v>42</v>
      </c>
      <c r="F21" s="931">
        <v>9240</v>
      </c>
      <c r="G21" s="932">
        <v>33252.199999999997</v>
      </c>
      <c r="H21" s="932">
        <v>20471.269680000005</v>
      </c>
      <c r="I21" s="932">
        <v>0</v>
      </c>
      <c r="J21" s="932">
        <v>12780.930319999992</v>
      </c>
    </row>
    <row r="22" spans="1:14" ht="14.4">
      <c r="A22" s="1219" t="s">
        <v>731</v>
      </c>
      <c r="B22" s="1220"/>
      <c r="C22" s="933">
        <v>0</v>
      </c>
      <c r="D22" s="933"/>
      <c r="E22" s="933">
        <v>0</v>
      </c>
      <c r="F22" s="931">
        <v>0</v>
      </c>
      <c r="G22" s="932">
        <v>0</v>
      </c>
      <c r="H22" s="932">
        <v>0</v>
      </c>
      <c r="I22" s="932">
        <v>0</v>
      </c>
      <c r="J22" s="932">
        <v>0</v>
      </c>
    </row>
    <row r="23" spans="1:14" ht="14.4">
      <c r="A23" s="1219" t="s">
        <v>756</v>
      </c>
      <c r="B23" s="1220"/>
      <c r="C23" s="933">
        <v>1</v>
      </c>
      <c r="D23" s="933">
        <v>1</v>
      </c>
      <c r="E23" s="933">
        <v>0</v>
      </c>
      <c r="F23" s="931">
        <v>0</v>
      </c>
      <c r="G23" s="932">
        <v>1000</v>
      </c>
      <c r="H23" s="932">
        <v>0</v>
      </c>
      <c r="I23" s="932">
        <v>0</v>
      </c>
      <c r="J23" s="932">
        <v>1000</v>
      </c>
      <c r="N23">
        <v>7</v>
      </c>
    </row>
    <row r="24" spans="1:14" ht="14.4">
      <c r="A24" s="1219" t="s">
        <v>733</v>
      </c>
      <c r="B24" s="1220"/>
      <c r="C24" s="931">
        <v>5</v>
      </c>
      <c r="D24" s="931">
        <v>7</v>
      </c>
      <c r="E24" s="931">
        <v>8</v>
      </c>
      <c r="F24" s="931">
        <v>720</v>
      </c>
      <c r="G24" s="932">
        <v>5750</v>
      </c>
      <c r="H24" s="932">
        <v>3220.3744000000002</v>
      </c>
      <c r="I24" s="932">
        <v>0</v>
      </c>
      <c r="J24" s="932">
        <v>2529.6255999999998</v>
      </c>
    </row>
    <row r="25" spans="1:14" ht="14.4">
      <c r="A25" s="1219" t="s">
        <v>734</v>
      </c>
      <c r="B25" s="1220"/>
      <c r="C25" s="931">
        <v>1</v>
      </c>
      <c r="D25" s="931">
        <v>1</v>
      </c>
      <c r="E25" s="931">
        <v>2</v>
      </c>
      <c r="F25" s="931">
        <v>150</v>
      </c>
      <c r="G25" s="932">
        <v>500</v>
      </c>
      <c r="H25" s="932">
        <v>271.42</v>
      </c>
      <c r="I25" s="932">
        <v>0</v>
      </c>
      <c r="J25" s="932">
        <v>228.57999999999998</v>
      </c>
    </row>
    <row r="26" spans="1:14" ht="14.4">
      <c r="A26" s="1219" t="s">
        <v>735</v>
      </c>
      <c r="B26" s="1220"/>
      <c r="C26" s="931">
        <v>13</v>
      </c>
      <c r="D26" s="931">
        <v>21</v>
      </c>
      <c r="E26" s="931">
        <v>47</v>
      </c>
      <c r="F26" s="931">
        <v>4700</v>
      </c>
      <c r="G26" s="932">
        <v>17227.3</v>
      </c>
      <c r="H26" s="932">
        <v>10105.853333333333</v>
      </c>
      <c r="I26" s="932">
        <v>0</v>
      </c>
      <c r="J26" s="932">
        <v>7121.4466666666667</v>
      </c>
    </row>
    <row r="27" spans="1:14" ht="14.4">
      <c r="A27" s="1219" t="s">
        <v>736</v>
      </c>
      <c r="B27" s="1220"/>
      <c r="C27" s="931">
        <v>4</v>
      </c>
      <c r="D27" s="931">
        <v>5</v>
      </c>
      <c r="E27" s="931">
        <v>13</v>
      </c>
      <c r="F27" s="931">
        <v>1300</v>
      </c>
      <c r="G27" s="932">
        <v>3500</v>
      </c>
      <c r="H27" s="932">
        <v>1809.9866666666667</v>
      </c>
      <c r="I27" s="932">
        <v>0</v>
      </c>
      <c r="J27" s="932">
        <v>1690.0133333333333</v>
      </c>
    </row>
    <row r="28" spans="1:14" ht="14.4">
      <c r="A28" s="1219" t="s">
        <v>757</v>
      </c>
      <c r="B28" s="1220"/>
      <c r="C28" s="931">
        <v>0</v>
      </c>
      <c r="D28" s="931"/>
      <c r="E28" s="931">
        <v>0</v>
      </c>
      <c r="F28" s="931">
        <v>0</v>
      </c>
      <c r="G28" s="932">
        <v>0</v>
      </c>
      <c r="H28" s="932">
        <v>0</v>
      </c>
      <c r="I28" s="932">
        <v>0</v>
      </c>
      <c r="J28" s="932">
        <v>0</v>
      </c>
    </row>
    <row r="29" spans="1:14" ht="14.4">
      <c r="A29" s="1219" t="s">
        <v>713</v>
      </c>
      <c r="B29" s="1220"/>
      <c r="C29" s="931">
        <v>5</v>
      </c>
      <c r="D29" s="931">
        <v>13</v>
      </c>
      <c r="E29" s="931">
        <v>22</v>
      </c>
      <c r="F29" s="931">
        <v>1320</v>
      </c>
      <c r="G29" s="932">
        <v>9947.5</v>
      </c>
      <c r="H29" s="932">
        <v>6364.88</v>
      </c>
      <c r="I29" s="932">
        <v>3175.41</v>
      </c>
      <c r="J29" s="932">
        <v>407.21000000000004</v>
      </c>
    </row>
    <row r="30" spans="1:14" ht="14.4">
      <c r="A30" s="1219" t="s">
        <v>738</v>
      </c>
      <c r="B30" s="1220"/>
      <c r="C30" s="933">
        <v>0</v>
      </c>
      <c r="D30" s="933"/>
      <c r="E30" s="933">
        <v>0</v>
      </c>
      <c r="F30" s="931"/>
      <c r="G30" s="932">
        <v>0</v>
      </c>
      <c r="H30" s="932">
        <v>0</v>
      </c>
      <c r="I30" s="932">
        <v>0</v>
      </c>
      <c r="J30" s="932">
        <v>0</v>
      </c>
    </row>
    <row r="31" spans="1:14" ht="14.4">
      <c r="A31" s="1219" t="s">
        <v>739</v>
      </c>
      <c r="B31" s="1220"/>
      <c r="C31" s="931">
        <v>4</v>
      </c>
      <c r="D31" s="931">
        <v>11</v>
      </c>
      <c r="E31" s="931">
        <v>1</v>
      </c>
      <c r="F31" s="931">
        <v>500</v>
      </c>
      <c r="G31" s="934">
        <v>6050</v>
      </c>
      <c r="H31" s="934">
        <v>2205</v>
      </c>
      <c r="I31" s="932">
        <v>0</v>
      </c>
      <c r="J31" s="932">
        <v>845</v>
      </c>
    </row>
    <row r="32" spans="1:14" ht="14.4">
      <c r="A32" s="1219" t="s">
        <v>740</v>
      </c>
      <c r="B32" s="1220"/>
      <c r="C32" s="931">
        <v>2</v>
      </c>
      <c r="D32" s="931">
        <v>2</v>
      </c>
      <c r="E32" s="931">
        <v>4</v>
      </c>
      <c r="F32" s="931">
        <v>360</v>
      </c>
      <c r="G32" s="934">
        <v>2200</v>
      </c>
      <c r="H32" s="934">
        <v>870.04</v>
      </c>
      <c r="I32" s="932">
        <v>0</v>
      </c>
      <c r="J32" s="932">
        <v>1329.96</v>
      </c>
    </row>
    <row r="33" spans="1:11" ht="14.4">
      <c r="A33" s="1219" t="s">
        <v>742</v>
      </c>
      <c r="B33" s="1220"/>
      <c r="C33" s="931">
        <v>6</v>
      </c>
      <c r="D33" s="931">
        <v>13</v>
      </c>
      <c r="E33" s="931">
        <v>30</v>
      </c>
      <c r="F33" s="931">
        <v>1500</v>
      </c>
      <c r="G33" s="932">
        <v>13014</v>
      </c>
      <c r="H33" s="932">
        <v>7645.1400000000012</v>
      </c>
      <c r="I33" s="932">
        <v>0</v>
      </c>
      <c r="J33" s="932">
        <v>5368.8599999999988</v>
      </c>
    </row>
    <row r="34" spans="1:11" ht="14.4">
      <c r="A34" s="1219" t="s">
        <v>743</v>
      </c>
      <c r="B34" s="1220"/>
      <c r="C34" s="933">
        <v>0</v>
      </c>
      <c r="D34" s="933"/>
      <c r="E34" s="933">
        <v>0</v>
      </c>
      <c r="F34" s="931">
        <v>0</v>
      </c>
      <c r="G34" s="932">
        <v>0</v>
      </c>
      <c r="H34" s="932">
        <v>0</v>
      </c>
      <c r="I34" s="932">
        <v>0</v>
      </c>
      <c r="J34" s="932">
        <v>0</v>
      </c>
    </row>
    <row r="35" spans="1:11" ht="14.4">
      <c r="A35" s="1224" t="s">
        <v>744</v>
      </c>
      <c r="B35" s="1225"/>
      <c r="C35" s="929">
        <f>SUM(C21:C34)</f>
        <v>61</v>
      </c>
      <c r="D35" s="929">
        <f>SUM(D21:D34)</f>
        <v>110</v>
      </c>
      <c r="E35" s="929">
        <v>169</v>
      </c>
      <c r="F35" s="923">
        <v>19790</v>
      </c>
      <c r="G35" s="930">
        <v>92441</v>
      </c>
      <c r="H35" s="930">
        <v>52963.964079999998</v>
      </c>
      <c r="I35" s="930">
        <v>3175.41</v>
      </c>
      <c r="J35" s="930">
        <v>33301.625919999999</v>
      </c>
    </row>
    <row r="37" spans="1:11" ht="28.8" customHeight="1">
      <c r="A37" s="1221" t="s">
        <v>770</v>
      </c>
      <c r="B37" s="1223"/>
      <c r="C37" s="1223"/>
      <c r="D37" s="1223"/>
      <c r="E37" s="1222"/>
    </row>
    <row r="38" spans="1:11" ht="43.2">
      <c r="A38" s="922" t="s">
        <v>725</v>
      </c>
      <c r="B38" s="1013"/>
      <c r="C38" s="923" t="s">
        <v>726</v>
      </c>
      <c r="D38" s="923" t="s">
        <v>758</v>
      </c>
      <c r="E38" s="928" t="s">
        <v>753</v>
      </c>
    </row>
    <row r="39" spans="1:11" ht="14.4">
      <c r="A39" s="1009" t="s">
        <v>730</v>
      </c>
      <c r="B39" s="1010"/>
      <c r="C39" s="931">
        <v>6</v>
      </c>
      <c r="D39" s="931">
        <v>20</v>
      </c>
      <c r="E39" s="932">
        <f>SUM(F39:K39)</f>
        <v>9417</v>
      </c>
      <c r="F39">
        <v>400</v>
      </c>
      <c r="G39">
        <v>1000</v>
      </c>
      <c r="H39">
        <v>1300</v>
      </c>
      <c r="I39">
        <v>1400</v>
      </c>
      <c r="J39">
        <v>4667</v>
      </c>
      <c r="K39">
        <v>650</v>
      </c>
    </row>
    <row r="40" spans="1:11" ht="14.4">
      <c r="A40" s="1009" t="s">
        <v>731</v>
      </c>
      <c r="B40" s="1010"/>
      <c r="C40" s="933"/>
      <c r="D40" s="933"/>
      <c r="E40" s="932">
        <f t="shared" ref="E40:E52" si="1">SUM(F40:K40)</f>
        <v>0</v>
      </c>
    </row>
    <row r="41" spans="1:11" ht="14.4">
      <c r="A41" s="1009" t="s">
        <v>756</v>
      </c>
      <c r="B41" s="1010"/>
      <c r="C41" s="933"/>
      <c r="D41" s="933"/>
      <c r="E41" s="932">
        <f t="shared" si="1"/>
        <v>0</v>
      </c>
    </row>
    <row r="42" spans="1:11" ht="14.4">
      <c r="A42" s="1009" t="s">
        <v>733</v>
      </c>
      <c r="B42" s="1010"/>
      <c r="C42" s="931">
        <v>1</v>
      </c>
      <c r="D42" s="931">
        <v>2</v>
      </c>
      <c r="E42" s="932">
        <f t="shared" si="1"/>
        <v>933</v>
      </c>
      <c r="F42">
        <v>933</v>
      </c>
    </row>
    <row r="43" spans="1:11" ht="14.4">
      <c r="A43" s="1009" t="s">
        <v>734</v>
      </c>
      <c r="B43" s="1010"/>
      <c r="C43" s="931">
        <v>2</v>
      </c>
      <c r="D43" s="931">
        <v>22</v>
      </c>
      <c r="E43" s="932">
        <f t="shared" si="1"/>
        <v>6000</v>
      </c>
      <c r="F43">
        <v>5000</v>
      </c>
      <c r="G43">
        <v>1000</v>
      </c>
    </row>
    <row r="44" spans="1:11" ht="14.4">
      <c r="A44" s="1009" t="s">
        <v>735</v>
      </c>
      <c r="B44" s="1010"/>
      <c r="C44" s="931">
        <v>6</v>
      </c>
      <c r="D44" s="931">
        <v>10</v>
      </c>
      <c r="E44" s="932">
        <f t="shared" si="1"/>
        <v>3625</v>
      </c>
      <c r="F44">
        <v>600</v>
      </c>
      <c r="G44">
        <v>600</v>
      </c>
      <c r="H44">
        <v>700</v>
      </c>
      <c r="I44">
        <v>750</v>
      </c>
      <c r="J44">
        <f>750/2</f>
        <v>375</v>
      </c>
      <c r="K44">
        <v>600</v>
      </c>
    </row>
    <row r="45" spans="1:11" ht="14.4">
      <c r="A45" s="1009" t="s">
        <v>736</v>
      </c>
      <c r="B45" s="1010"/>
      <c r="C45" s="931">
        <v>3</v>
      </c>
      <c r="D45" s="931">
        <v>7</v>
      </c>
      <c r="E45" s="932">
        <f t="shared" si="1"/>
        <v>2175</v>
      </c>
      <c r="F45">
        <v>900</v>
      </c>
      <c r="G45">
        <v>900</v>
      </c>
      <c r="J45">
        <v>375</v>
      </c>
    </row>
    <row r="46" spans="1:11" ht="14.4">
      <c r="A46" s="1219" t="s">
        <v>757</v>
      </c>
      <c r="B46" s="1220"/>
      <c r="C46" s="931"/>
      <c r="D46" s="931"/>
      <c r="E46" s="932">
        <f t="shared" si="1"/>
        <v>0</v>
      </c>
    </row>
    <row r="47" spans="1:11" ht="14.4">
      <c r="A47" s="1009" t="s">
        <v>713</v>
      </c>
      <c r="B47" s="1010"/>
      <c r="C47" s="931"/>
      <c r="D47" s="931"/>
      <c r="E47" s="932">
        <f t="shared" si="1"/>
        <v>0</v>
      </c>
    </row>
    <row r="48" spans="1:11" ht="14.4">
      <c r="A48" s="1009" t="s">
        <v>738</v>
      </c>
      <c r="B48" s="1010"/>
      <c r="C48" s="933"/>
      <c r="D48" s="933"/>
      <c r="E48" s="932">
        <f t="shared" si="1"/>
        <v>0</v>
      </c>
    </row>
    <row r="49" spans="1:19" ht="14.4">
      <c r="A49" s="1009" t="s">
        <v>739</v>
      </c>
      <c r="B49" s="1010"/>
      <c r="C49" s="931">
        <v>3</v>
      </c>
      <c r="D49" s="931">
        <v>8</v>
      </c>
      <c r="E49" s="932">
        <f t="shared" si="1"/>
        <v>3750</v>
      </c>
      <c r="F49">
        <v>1500</v>
      </c>
      <c r="G49">
        <v>650</v>
      </c>
      <c r="H49">
        <v>1600</v>
      </c>
    </row>
    <row r="50" spans="1:19" ht="14.4">
      <c r="A50" s="1009" t="s">
        <v>740</v>
      </c>
      <c r="B50" s="1010"/>
      <c r="C50" s="931"/>
      <c r="D50" s="931"/>
      <c r="E50" s="932">
        <f t="shared" si="1"/>
        <v>0</v>
      </c>
    </row>
    <row r="51" spans="1:19" ht="14.4">
      <c r="A51" s="1009" t="s">
        <v>742</v>
      </c>
      <c r="B51" s="1010"/>
      <c r="C51" s="931">
        <v>5</v>
      </c>
      <c r="D51" s="931">
        <v>17</v>
      </c>
      <c r="E51" s="932">
        <f t="shared" si="1"/>
        <v>7900</v>
      </c>
      <c r="F51">
        <v>1300</v>
      </c>
      <c r="G51">
        <v>1400</v>
      </c>
      <c r="H51">
        <v>1300</v>
      </c>
      <c r="I51">
        <v>1300</v>
      </c>
      <c r="J51">
        <v>2600</v>
      </c>
    </row>
    <row r="52" spans="1:19" ht="14.4">
      <c r="A52" s="1009" t="s">
        <v>743</v>
      </c>
      <c r="B52" s="1010"/>
      <c r="C52" s="933"/>
      <c r="D52" s="933"/>
      <c r="E52" s="932">
        <f t="shared" si="1"/>
        <v>0</v>
      </c>
    </row>
    <row r="53" spans="1:19" ht="14.4">
      <c r="A53" s="1011" t="s">
        <v>744</v>
      </c>
      <c r="B53" s="1012"/>
      <c r="C53" s="929">
        <f>SUM(C39:C52)</f>
        <v>26</v>
      </c>
      <c r="D53" s="929">
        <f>SUM(D39:D52)</f>
        <v>86</v>
      </c>
      <c r="E53" s="930">
        <f>SUM(E39:E52)</f>
        <v>33800</v>
      </c>
      <c r="F53">
        <v>200</v>
      </c>
      <c r="H53">
        <v>150</v>
      </c>
      <c r="I53">
        <v>100</v>
      </c>
    </row>
    <row r="55" spans="1:19" ht="28.8" customHeight="1">
      <c r="A55" s="1221" t="s">
        <v>772</v>
      </c>
      <c r="B55" s="1223"/>
      <c r="C55" s="1223"/>
      <c r="D55" s="1223"/>
      <c r="E55" s="1222"/>
    </row>
    <row r="56" spans="1:19" ht="43.2">
      <c r="A56" s="1221" t="s">
        <v>725</v>
      </c>
      <c r="B56" s="1222"/>
      <c r="C56" s="923" t="s">
        <v>726</v>
      </c>
      <c r="D56" s="923" t="s">
        <v>758</v>
      </c>
      <c r="E56" s="928" t="s">
        <v>753</v>
      </c>
    </row>
    <row r="57" spans="1:19" ht="14.4">
      <c r="A57" s="1219" t="s">
        <v>730</v>
      </c>
      <c r="B57" s="1220"/>
      <c r="C57" s="931">
        <f>COUNTA(F57:S57)</f>
        <v>14</v>
      </c>
      <c r="D57" s="931">
        <v>50</v>
      </c>
      <c r="E57" s="932">
        <f>SUM(F57:S57)</f>
        <v>18600</v>
      </c>
      <c r="F57">
        <v>1500</v>
      </c>
      <c r="G57">
        <v>700</v>
      </c>
      <c r="H57">
        <v>800</v>
      </c>
      <c r="I57">
        <v>700</v>
      </c>
      <c r="J57">
        <v>350</v>
      </c>
      <c r="K57">
        <v>300</v>
      </c>
      <c r="L57">
        <v>5250</v>
      </c>
      <c r="M57">
        <v>2100</v>
      </c>
      <c r="N57">
        <v>400</v>
      </c>
      <c r="O57">
        <v>900</v>
      </c>
      <c r="P57">
        <v>2000</v>
      </c>
      <c r="Q57">
        <v>700</v>
      </c>
      <c r="R57">
        <v>700</v>
      </c>
      <c r="S57">
        <v>2200</v>
      </c>
    </row>
    <row r="58" spans="1:19" ht="14.4">
      <c r="A58" s="1219" t="s">
        <v>731</v>
      </c>
      <c r="B58" s="1220"/>
      <c r="C58" s="931">
        <f t="shared" ref="C58:C70" si="2">COUNTA(F58:S58)</f>
        <v>2</v>
      </c>
      <c r="D58" s="933">
        <v>30</v>
      </c>
      <c r="E58" s="932">
        <f t="shared" ref="E58:E70" si="3">SUM(F58:S58)</f>
        <v>4500</v>
      </c>
      <c r="F58">
        <v>2700</v>
      </c>
      <c r="G58">
        <v>1800</v>
      </c>
    </row>
    <row r="59" spans="1:19" ht="14.4">
      <c r="A59" s="1219" t="s">
        <v>756</v>
      </c>
      <c r="B59" s="1220"/>
      <c r="C59" s="931">
        <f t="shared" si="2"/>
        <v>0</v>
      </c>
      <c r="D59" s="933"/>
      <c r="E59" s="932">
        <f t="shared" si="3"/>
        <v>0</v>
      </c>
    </row>
    <row r="60" spans="1:19" ht="14.4">
      <c r="A60" s="1219" t="s">
        <v>733</v>
      </c>
      <c r="B60" s="1220"/>
      <c r="C60" s="931">
        <f t="shared" si="2"/>
        <v>3</v>
      </c>
      <c r="D60" s="931">
        <v>7</v>
      </c>
      <c r="E60" s="932">
        <f t="shared" si="3"/>
        <v>2350</v>
      </c>
      <c r="F60">
        <v>750</v>
      </c>
      <c r="G60">
        <v>1200</v>
      </c>
      <c r="H60">
        <v>400</v>
      </c>
    </row>
    <row r="61" spans="1:19" ht="14.4">
      <c r="A61" s="1219" t="s">
        <v>734</v>
      </c>
      <c r="B61" s="1220"/>
      <c r="C61" s="931">
        <f t="shared" si="2"/>
        <v>0</v>
      </c>
      <c r="D61" s="931"/>
      <c r="E61" s="932">
        <f t="shared" si="3"/>
        <v>0</v>
      </c>
    </row>
    <row r="62" spans="1:19" ht="14.4">
      <c r="A62" s="1219" t="s">
        <v>735</v>
      </c>
      <c r="B62" s="1220"/>
      <c r="C62" s="931">
        <f t="shared" si="2"/>
        <v>8</v>
      </c>
      <c r="D62" s="931">
        <v>24</v>
      </c>
      <c r="E62" s="932">
        <f t="shared" si="3"/>
        <v>8610</v>
      </c>
      <c r="F62">
        <v>600</v>
      </c>
      <c r="G62">
        <v>600</v>
      </c>
      <c r="H62">
        <v>2200</v>
      </c>
      <c r="I62">
        <v>1200</v>
      </c>
      <c r="J62">
        <v>1200</v>
      </c>
      <c r="K62">
        <v>1200</v>
      </c>
      <c r="L62">
        <v>800</v>
      </c>
      <c r="M62">
        <v>810</v>
      </c>
    </row>
    <row r="63" spans="1:19" ht="14.4">
      <c r="A63" s="1219" t="s">
        <v>736</v>
      </c>
      <c r="B63" s="1220"/>
      <c r="C63" s="931">
        <f t="shared" si="2"/>
        <v>8</v>
      </c>
      <c r="D63" s="931">
        <v>18</v>
      </c>
      <c r="E63" s="932">
        <f t="shared" si="3"/>
        <v>6170</v>
      </c>
      <c r="F63">
        <v>500</v>
      </c>
      <c r="G63">
        <v>1500</v>
      </c>
      <c r="H63">
        <v>600</v>
      </c>
      <c r="I63">
        <v>780</v>
      </c>
      <c r="J63">
        <v>800</v>
      </c>
      <c r="K63">
        <v>780</v>
      </c>
      <c r="L63">
        <v>810</v>
      </c>
      <c r="M63">
        <v>400</v>
      </c>
    </row>
    <row r="64" spans="1:19" ht="14.4">
      <c r="A64" s="1219" t="s">
        <v>757</v>
      </c>
      <c r="B64" s="1220"/>
      <c r="C64" s="931">
        <f t="shared" si="2"/>
        <v>4</v>
      </c>
      <c r="D64" s="931">
        <v>9</v>
      </c>
      <c r="E64" s="932">
        <f t="shared" si="3"/>
        <v>3660</v>
      </c>
      <c r="F64">
        <v>900</v>
      </c>
      <c r="G64">
        <v>850</v>
      </c>
      <c r="H64">
        <v>1100</v>
      </c>
      <c r="I64">
        <v>810</v>
      </c>
    </row>
    <row r="65" spans="1:19" ht="14.4">
      <c r="A65" s="1219" t="s">
        <v>713</v>
      </c>
      <c r="B65" s="1220"/>
      <c r="C65" s="931">
        <f t="shared" si="2"/>
        <v>0</v>
      </c>
      <c r="D65" s="931"/>
      <c r="E65" s="932">
        <f t="shared" si="3"/>
        <v>0</v>
      </c>
    </row>
    <row r="66" spans="1:19" ht="14.4">
      <c r="A66" s="1219" t="s">
        <v>738</v>
      </c>
      <c r="B66" s="1220"/>
      <c r="C66" s="931">
        <f t="shared" si="2"/>
        <v>3</v>
      </c>
      <c r="D66" s="933">
        <v>4</v>
      </c>
      <c r="E66" s="932">
        <f t="shared" si="3"/>
        <v>1900</v>
      </c>
      <c r="F66">
        <v>700</v>
      </c>
      <c r="G66">
        <v>400</v>
      </c>
      <c r="H66">
        <v>800</v>
      </c>
    </row>
    <row r="67" spans="1:19" ht="14.4">
      <c r="A67" s="1219" t="s">
        <v>739</v>
      </c>
      <c r="B67" s="1220"/>
      <c r="C67" s="931">
        <f t="shared" si="2"/>
        <v>5</v>
      </c>
      <c r="D67" s="931">
        <v>5</v>
      </c>
      <c r="E67" s="932">
        <f t="shared" si="3"/>
        <v>3450</v>
      </c>
      <c r="F67">
        <v>400</v>
      </c>
      <c r="G67">
        <v>900</v>
      </c>
      <c r="H67">
        <v>400</v>
      </c>
      <c r="I67">
        <v>400</v>
      </c>
      <c r="J67">
        <v>1350</v>
      </c>
    </row>
    <row r="68" spans="1:19" ht="14.4">
      <c r="A68" s="1219" t="s">
        <v>740</v>
      </c>
      <c r="B68" s="1220"/>
      <c r="C68" s="931">
        <f t="shared" si="2"/>
        <v>4</v>
      </c>
      <c r="D68" s="931">
        <v>4</v>
      </c>
      <c r="E68" s="932">
        <f t="shared" si="3"/>
        <v>2350</v>
      </c>
      <c r="F68">
        <v>600</v>
      </c>
      <c r="G68">
        <v>600</v>
      </c>
      <c r="H68">
        <v>600</v>
      </c>
      <c r="I68">
        <v>550</v>
      </c>
    </row>
    <row r="69" spans="1:19" ht="14.4">
      <c r="A69" s="1219" t="s">
        <v>742</v>
      </c>
      <c r="B69" s="1220"/>
      <c r="C69" s="931">
        <f t="shared" si="2"/>
        <v>14</v>
      </c>
      <c r="D69" s="931">
        <v>50</v>
      </c>
      <c r="E69" s="932">
        <f t="shared" si="3"/>
        <v>19820</v>
      </c>
      <c r="F69">
        <v>1200</v>
      </c>
      <c r="G69">
        <v>1140</v>
      </c>
      <c r="H69">
        <v>900</v>
      </c>
      <c r="I69">
        <v>1200</v>
      </c>
      <c r="J69">
        <v>600</v>
      </c>
      <c r="K69">
        <v>2400</v>
      </c>
      <c r="L69">
        <v>3780</v>
      </c>
      <c r="M69">
        <v>1200</v>
      </c>
      <c r="N69">
        <v>1200</v>
      </c>
      <c r="O69">
        <v>1200</v>
      </c>
      <c r="P69">
        <v>1200</v>
      </c>
      <c r="Q69">
        <v>1200</v>
      </c>
      <c r="R69">
        <v>1400</v>
      </c>
      <c r="S69">
        <v>1200</v>
      </c>
    </row>
    <row r="70" spans="1:19" ht="14.4">
      <c r="A70" s="1219" t="s">
        <v>743</v>
      </c>
      <c r="B70" s="1220"/>
      <c r="C70" s="931">
        <f t="shared" si="2"/>
        <v>0</v>
      </c>
      <c r="D70" s="933"/>
      <c r="E70" s="932">
        <f t="shared" si="3"/>
        <v>0</v>
      </c>
    </row>
    <row r="71" spans="1:19" ht="14.4">
      <c r="A71" s="1224" t="s">
        <v>744</v>
      </c>
      <c r="B71" s="1225"/>
      <c r="C71" s="929">
        <f>SUM(C57:C70)</f>
        <v>65</v>
      </c>
      <c r="D71" s="929">
        <f>SUM(D57:D70)</f>
        <v>201</v>
      </c>
      <c r="E71" s="930">
        <f>SUM(E57:E70)</f>
        <v>71410</v>
      </c>
      <c r="F71">
        <v>300</v>
      </c>
      <c r="G71">
        <v>200</v>
      </c>
      <c r="H71">
        <v>200</v>
      </c>
      <c r="I71">
        <v>200</v>
      </c>
    </row>
  </sheetData>
  <mergeCells count="37">
    <mergeCell ref="A31:B31"/>
    <mergeCell ref="A32:B32"/>
    <mergeCell ref="A33:B33"/>
    <mergeCell ref="B1:J1"/>
    <mergeCell ref="A20:B20"/>
    <mergeCell ref="A21:B21"/>
    <mergeCell ref="A22:B22"/>
    <mergeCell ref="A23:B23"/>
    <mergeCell ref="A24:B24"/>
    <mergeCell ref="A34:B34"/>
    <mergeCell ref="A19:J19"/>
    <mergeCell ref="A46:B46"/>
    <mergeCell ref="A37:E37"/>
    <mergeCell ref="A68:B68"/>
    <mergeCell ref="A58:B58"/>
    <mergeCell ref="A59:B59"/>
    <mergeCell ref="A60:B60"/>
    <mergeCell ref="A61:B61"/>
    <mergeCell ref="A25:B25"/>
    <mergeCell ref="A26:B26"/>
    <mergeCell ref="A27:B27"/>
    <mergeCell ref="A35:B35"/>
    <mergeCell ref="A28:B28"/>
    <mergeCell ref="A29:B29"/>
    <mergeCell ref="A30:B30"/>
    <mergeCell ref="A71:B71"/>
    <mergeCell ref="A63:B63"/>
    <mergeCell ref="A64:B64"/>
    <mergeCell ref="A65:B65"/>
    <mergeCell ref="A66:B66"/>
    <mergeCell ref="A67:B67"/>
    <mergeCell ref="A69:B69"/>
    <mergeCell ref="A62:B62"/>
    <mergeCell ref="A56:B56"/>
    <mergeCell ref="A57:B57"/>
    <mergeCell ref="A55:E55"/>
    <mergeCell ref="A70:B70"/>
  </mergeCells>
  <conditionalFormatting sqref="B1">
    <cfRule type="containsErrors" dxfId="33" priority="4">
      <formula>ISERROR(B1)</formula>
    </cfRule>
  </conditionalFormatting>
  <conditionalFormatting sqref="A19">
    <cfRule type="containsErrors" dxfId="32" priority="3">
      <formula>ISERROR(A19)</formula>
    </cfRule>
  </conditionalFormatting>
  <conditionalFormatting sqref="A37">
    <cfRule type="containsErrors" dxfId="31" priority="2">
      <formula>ISERROR(A37)</formula>
    </cfRule>
  </conditionalFormatting>
  <conditionalFormatting sqref="A55">
    <cfRule type="containsErrors" dxfId="30" priority="1">
      <formula>ISERROR(A55)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AFDE6-8DCD-476A-A1A0-FA1397160CB9}">
  <sheetPr>
    <tabColor theme="6"/>
  </sheetPr>
  <dimension ref="A1:O50"/>
  <sheetViews>
    <sheetView topLeftCell="A28" workbookViewId="0">
      <selection sqref="A1:G1"/>
    </sheetView>
    <sheetView workbookViewId="1">
      <selection sqref="A1:G1"/>
    </sheetView>
  </sheetViews>
  <sheetFormatPr baseColWidth="10" defaultRowHeight="13.2"/>
  <cols>
    <col min="4" max="4" width="12.33203125" bestFit="1" customWidth="1"/>
  </cols>
  <sheetData>
    <row r="1" spans="1:15" ht="14.4">
      <c r="A1" s="1230" t="s">
        <v>773</v>
      </c>
      <c r="B1" s="1230"/>
      <c r="C1" s="1230"/>
      <c r="D1" s="1230"/>
      <c r="E1" s="1230"/>
      <c r="F1" s="1230"/>
      <c r="G1" s="1230"/>
      <c r="I1" s="1230" t="s">
        <v>792</v>
      </c>
      <c r="J1" s="1230"/>
      <c r="K1" s="1230"/>
      <c r="L1" s="1230"/>
      <c r="M1" s="1230"/>
      <c r="N1" s="1230"/>
      <c r="O1" s="1230"/>
    </row>
    <row r="2" spans="1:15" ht="28.8">
      <c r="A2" s="1221" t="s">
        <v>725</v>
      </c>
      <c r="B2" s="1222"/>
      <c r="C2" s="923" t="s">
        <v>794</v>
      </c>
      <c r="D2" s="923" t="s">
        <v>727</v>
      </c>
      <c r="E2" s="923" t="s">
        <v>728</v>
      </c>
      <c r="F2" s="923" t="s">
        <v>729</v>
      </c>
      <c r="G2" s="923" t="s">
        <v>750</v>
      </c>
      <c r="I2" s="1221" t="s">
        <v>725</v>
      </c>
      <c r="J2" s="1222"/>
      <c r="K2" s="923" t="s">
        <v>726</v>
      </c>
      <c r="L2" s="923" t="s">
        <v>727</v>
      </c>
      <c r="M2" s="923" t="s">
        <v>728</v>
      </c>
      <c r="N2" s="923" t="s">
        <v>729</v>
      </c>
      <c r="O2" s="923" t="s">
        <v>750</v>
      </c>
    </row>
    <row r="3" spans="1:15" ht="14.4">
      <c r="A3" s="1226" t="s">
        <v>730</v>
      </c>
      <c r="B3" s="1227"/>
      <c r="C3" s="924">
        <v>15</v>
      </c>
      <c r="D3" s="935">
        <f>C3*850</f>
        <v>12750</v>
      </c>
      <c r="E3" s="935"/>
      <c r="F3" s="935">
        <f>C3*'BAREMES UTILISES'!$C$9</f>
        <v>7530</v>
      </c>
      <c r="G3" s="935">
        <f t="shared" ref="G3:G17" si="0">D3-E3-F3</f>
        <v>5220</v>
      </c>
      <c r="I3" s="1226" t="s">
        <v>730</v>
      </c>
      <c r="J3" s="1227"/>
      <c r="K3" s="924">
        <v>1</v>
      </c>
      <c r="L3" s="935">
        <v>800</v>
      </c>
      <c r="M3" s="935"/>
      <c r="N3" s="935">
        <f>K3*'BAREMES UTILISES'!$C$3</f>
        <v>473.08</v>
      </c>
      <c r="O3" s="935">
        <f t="shared" ref="O3:O16" si="1">L3-M3-N3</f>
        <v>326.92</v>
      </c>
    </row>
    <row r="4" spans="1:15" ht="14.4">
      <c r="A4" s="1228" t="s">
        <v>731</v>
      </c>
      <c r="B4" s="1229"/>
      <c r="C4" s="1007">
        <v>0</v>
      </c>
      <c r="D4" s="1008">
        <f>C4*1350</f>
        <v>0</v>
      </c>
      <c r="E4" s="1008"/>
      <c r="F4" s="1008">
        <f>C4*'BAREMES UTILISES'!$D$10</f>
        <v>0</v>
      </c>
      <c r="G4" s="1008">
        <f t="shared" si="0"/>
        <v>0</v>
      </c>
      <c r="I4" s="1228" t="s">
        <v>731</v>
      </c>
      <c r="J4" s="1229"/>
      <c r="K4" s="1007">
        <v>1</v>
      </c>
      <c r="L4" s="1008">
        <f>K4*1300</f>
        <v>1300</v>
      </c>
      <c r="M4" s="1008"/>
      <c r="N4" s="1008">
        <f>K4*'BAREMES UTILISES'!$D$4</f>
        <v>841.23</v>
      </c>
      <c r="O4" s="1008">
        <f t="shared" si="1"/>
        <v>458.77</v>
      </c>
    </row>
    <row r="5" spans="1:15" ht="14.4">
      <c r="A5" s="1226" t="s">
        <v>732</v>
      </c>
      <c r="B5" s="1227"/>
      <c r="C5" s="924">
        <v>4</v>
      </c>
      <c r="D5" s="935">
        <f>C5*6000</f>
        <v>24000</v>
      </c>
      <c r="E5" s="935">
        <f>C5*1200</f>
        <v>4800</v>
      </c>
      <c r="F5" s="935">
        <f>C5*'BAREMES UTILISES'!$K$11</f>
        <v>12980</v>
      </c>
      <c r="G5" s="935">
        <f t="shared" si="0"/>
        <v>6220</v>
      </c>
      <c r="I5" s="1226" t="s">
        <v>732</v>
      </c>
      <c r="J5" s="1227"/>
      <c r="K5" s="924">
        <v>1</v>
      </c>
      <c r="L5" s="935">
        <f>K5*6000</f>
        <v>6000</v>
      </c>
      <c r="M5" s="935">
        <f>K5*1200</f>
        <v>1200</v>
      </c>
      <c r="N5" s="935">
        <f>K5*'BAREMES UTILISES'!$K$5</f>
        <v>3098.2999999999997</v>
      </c>
      <c r="O5" s="935">
        <f t="shared" si="1"/>
        <v>1701.7000000000003</v>
      </c>
    </row>
    <row r="6" spans="1:15" ht="14.4">
      <c r="A6" s="1226" t="s">
        <v>733</v>
      </c>
      <c r="B6" s="1227"/>
      <c r="C6" s="924">
        <v>3</v>
      </c>
      <c r="D6" s="935">
        <f>C6*850</f>
        <v>2550</v>
      </c>
      <c r="E6" s="935"/>
      <c r="F6" s="935">
        <f>C6*'BAREMES UTILISES'!$C$9</f>
        <v>1506</v>
      </c>
      <c r="G6" s="935">
        <f t="shared" si="0"/>
        <v>1044</v>
      </c>
      <c r="I6" s="1226" t="s">
        <v>733</v>
      </c>
      <c r="J6" s="1227"/>
      <c r="K6" s="924">
        <v>1</v>
      </c>
      <c r="L6" s="935">
        <v>800</v>
      </c>
      <c r="M6" s="935"/>
      <c r="N6" s="935">
        <f>K6*'BAREMES UTILISES'!$C$3</f>
        <v>473.08</v>
      </c>
      <c r="O6" s="935">
        <f t="shared" si="1"/>
        <v>326.92</v>
      </c>
    </row>
    <row r="7" spans="1:15" ht="14.4">
      <c r="A7" s="1228" t="s">
        <v>734</v>
      </c>
      <c r="B7" s="1229"/>
      <c r="C7" s="1007">
        <v>1</v>
      </c>
      <c r="D7" s="1008">
        <f>C7*550</f>
        <v>550</v>
      </c>
      <c r="E7" s="1008"/>
      <c r="F7" s="1008">
        <f>C7*'BAREMES UTILISES'!$B$10</f>
        <v>295</v>
      </c>
      <c r="G7" s="1008">
        <f t="shared" si="0"/>
        <v>255</v>
      </c>
      <c r="I7" s="1228" t="s">
        <v>734</v>
      </c>
      <c r="J7" s="1229"/>
      <c r="K7" s="1007">
        <v>1</v>
      </c>
      <c r="L7" s="1008">
        <f>K7*500</f>
        <v>500</v>
      </c>
      <c r="M7" s="1008"/>
      <c r="N7" s="1008">
        <f>K7*'BAREMES UTILISES'!$B$4</f>
        <v>280.41000000000003</v>
      </c>
      <c r="O7" s="1008">
        <f t="shared" si="1"/>
        <v>219.58999999999997</v>
      </c>
    </row>
    <row r="8" spans="1:15" ht="14.4">
      <c r="A8" s="1226" t="s">
        <v>735</v>
      </c>
      <c r="B8" s="1227"/>
      <c r="C8" s="924">
        <v>4</v>
      </c>
      <c r="D8" s="935">
        <f>C8*1350</f>
        <v>5400</v>
      </c>
      <c r="E8" s="935"/>
      <c r="F8" s="935">
        <f>C8*'BAREMES UTILISES'!$D$10</f>
        <v>3540</v>
      </c>
      <c r="G8" s="935">
        <f t="shared" si="0"/>
        <v>1860</v>
      </c>
      <c r="I8" s="1226" t="s">
        <v>735</v>
      </c>
      <c r="J8" s="1227"/>
      <c r="K8" s="924">
        <v>1</v>
      </c>
      <c r="L8" s="935">
        <f>K8*1300</f>
        <v>1300</v>
      </c>
      <c r="M8" s="935"/>
      <c r="N8" s="935">
        <f>K8*'BAREMES UTILISES'!$D$4</f>
        <v>841.23</v>
      </c>
      <c r="O8" s="935">
        <f t="shared" si="1"/>
        <v>458.77</v>
      </c>
    </row>
    <row r="9" spans="1:15" ht="14.4">
      <c r="A9" s="1226" t="s">
        <v>760</v>
      </c>
      <c r="B9" s="1227"/>
      <c r="C9" s="924">
        <v>6</v>
      </c>
      <c r="D9" s="935">
        <f>C9*850</f>
        <v>5100</v>
      </c>
      <c r="E9" s="935"/>
      <c r="F9" s="935">
        <f>C9*'BAREMES UTILISES'!$C$9</f>
        <v>3012</v>
      </c>
      <c r="G9" s="935">
        <f t="shared" si="0"/>
        <v>2088</v>
      </c>
      <c r="I9" s="1226" t="s">
        <v>760</v>
      </c>
      <c r="J9" s="1227"/>
      <c r="K9" s="924">
        <v>1</v>
      </c>
      <c r="L9" s="935">
        <f>K9*800</f>
        <v>800</v>
      </c>
      <c r="M9" s="935"/>
      <c r="N9" s="935">
        <f>K9*'BAREMES UTILISES'!$C$3</f>
        <v>473.08</v>
      </c>
      <c r="O9" s="935">
        <f t="shared" si="1"/>
        <v>326.92</v>
      </c>
    </row>
    <row r="10" spans="1:15" ht="14.4">
      <c r="A10" s="1226" t="s">
        <v>765</v>
      </c>
      <c r="B10" s="1227"/>
      <c r="C10" s="924">
        <v>2</v>
      </c>
      <c r="D10" s="935">
        <f>C10*950</f>
        <v>1900</v>
      </c>
      <c r="E10" s="935"/>
      <c r="F10" s="935">
        <f>C10*'BAREMES UTILISES'!$C$9</f>
        <v>1004</v>
      </c>
      <c r="G10" s="935">
        <f t="shared" si="0"/>
        <v>896</v>
      </c>
      <c r="I10" s="1226" t="s">
        <v>765</v>
      </c>
      <c r="J10" s="1227"/>
      <c r="K10" s="924">
        <v>1</v>
      </c>
      <c r="L10" s="935">
        <f>K10*900</f>
        <v>900</v>
      </c>
      <c r="M10" s="935"/>
      <c r="N10" s="935">
        <f>K10*'BAREMES UTILISES'!$C$3</f>
        <v>473.08</v>
      </c>
      <c r="O10" s="935">
        <f t="shared" si="1"/>
        <v>426.92</v>
      </c>
    </row>
    <row r="11" spans="1:15" ht="14.4">
      <c r="A11" s="1228" t="s">
        <v>737</v>
      </c>
      <c r="B11" s="1229"/>
      <c r="C11" s="1007">
        <v>0</v>
      </c>
      <c r="D11" s="1008">
        <f>C11*950</f>
        <v>0</v>
      </c>
      <c r="E11" s="1008"/>
      <c r="F11" s="1008">
        <f>C11*'BAREMES UTILISES'!$C$9</f>
        <v>0</v>
      </c>
      <c r="G11" s="1008">
        <f t="shared" si="0"/>
        <v>0</v>
      </c>
      <c r="I11" s="1228" t="s">
        <v>737</v>
      </c>
      <c r="J11" s="1229"/>
      <c r="K11" s="1007">
        <v>1</v>
      </c>
      <c r="L11" s="1008">
        <f>K11*900</f>
        <v>900</v>
      </c>
      <c r="M11" s="1008"/>
      <c r="N11" s="1008">
        <f>K11*'BAREMES UTILISES'!$C$3</f>
        <v>473.08</v>
      </c>
      <c r="O11" s="1008">
        <f t="shared" si="1"/>
        <v>426.92</v>
      </c>
    </row>
    <row r="12" spans="1:15" ht="14.4">
      <c r="A12" s="1226" t="s">
        <v>713</v>
      </c>
      <c r="B12" s="1227"/>
      <c r="C12" s="924">
        <v>15</v>
      </c>
      <c r="D12" s="935">
        <f>C12*1550</f>
        <v>23250</v>
      </c>
      <c r="E12" s="935">
        <f>C12*500</f>
        <v>7500</v>
      </c>
      <c r="F12" s="935">
        <f>C12*'BAREMES UTILISES'!$C$10</f>
        <v>8850</v>
      </c>
      <c r="G12" s="935">
        <f t="shared" si="0"/>
        <v>6900</v>
      </c>
      <c r="I12" s="1226" t="s">
        <v>713</v>
      </c>
      <c r="J12" s="1227"/>
      <c r="K12" s="924">
        <v>1</v>
      </c>
      <c r="L12" s="935">
        <f>K12*1500</f>
        <v>1500</v>
      </c>
      <c r="M12" s="935">
        <f>K12*500</f>
        <v>500</v>
      </c>
      <c r="N12" s="935">
        <f>K12*'BAREMES UTILISES'!$C$4</f>
        <v>560.82000000000005</v>
      </c>
      <c r="O12" s="935">
        <f t="shared" si="1"/>
        <v>439.17999999999995</v>
      </c>
    </row>
    <row r="13" spans="1:15" ht="14.4">
      <c r="A13" s="925" t="s">
        <v>739</v>
      </c>
      <c r="B13" s="926"/>
      <c r="C13" s="924">
        <v>2</v>
      </c>
      <c r="D13" s="935">
        <v>400</v>
      </c>
      <c r="E13" s="935"/>
      <c r="F13" s="935">
        <f>C13*'BAREMES UTILISES'!$B$10</f>
        <v>590</v>
      </c>
      <c r="G13" s="935">
        <f t="shared" si="0"/>
        <v>-190</v>
      </c>
      <c r="I13" s="925" t="s">
        <v>739</v>
      </c>
      <c r="J13" s="926"/>
      <c r="K13" s="924">
        <v>1</v>
      </c>
      <c r="L13" s="935">
        <f>K13*350</f>
        <v>350</v>
      </c>
      <c r="M13" s="935"/>
      <c r="N13" s="935">
        <f>K13*'BAREMES UTILISES'!$B$4</f>
        <v>280.41000000000003</v>
      </c>
      <c r="O13" s="935">
        <f t="shared" si="1"/>
        <v>69.589999999999975</v>
      </c>
    </row>
    <row r="14" spans="1:15" ht="14.4">
      <c r="A14" s="1005" t="s">
        <v>740</v>
      </c>
      <c r="B14" s="1006"/>
      <c r="C14" s="1007">
        <v>1</v>
      </c>
      <c r="D14" s="1008">
        <f>C14*1250</f>
        <v>1250</v>
      </c>
      <c r="E14" s="1008"/>
      <c r="F14" s="1008">
        <f>C14*'BAREMES UTILISES'!$C$9</f>
        <v>502</v>
      </c>
      <c r="G14" s="1008">
        <f t="shared" si="0"/>
        <v>748</v>
      </c>
      <c r="I14" s="1005" t="s">
        <v>740</v>
      </c>
      <c r="J14" s="1006"/>
      <c r="K14" s="1007">
        <v>1</v>
      </c>
      <c r="L14" s="1008">
        <f>K14*1200</f>
        <v>1200</v>
      </c>
      <c r="M14" s="1008"/>
      <c r="N14" s="1008">
        <f>K14*'BAREMES UTILISES'!$C$3</f>
        <v>473.08</v>
      </c>
      <c r="O14" s="1008">
        <f t="shared" si="1"/>
        <v>726.92000000000007</v>
      </c>
    </row>
    <row r="15" spans="1:15" ht="14.4">
      <c r="A15" s="925" t="s">
        <v>741</v>
      </c>
      <c r="B15" s="926"/>
      <c r="C15" s="924">
        <v>5</v>
      </c>
      <c r="D15" s="935">
        <f>C15*1150</f>
        <v>5750</v>
      </c>
      <c r="E15" s="935">
        <f>C15*25</f>
        <v>125</v>
      </c>
      <c r="F15" s="935">
        <f>C15*'BAREMES UTILISES'!$C$9</f>
        <v>2510</v>
      </c>
      <c r="G15" s="935">
        <f t="shared" si="0"/>
        <v>3115</v>
      </c>
      <c r="I15" s="925" t="s">
        <v>741</v>
      </c>
      <c r="J15" s="926"/>
      <c r="K15" s="924">
        <v>1</v>
      </c>
      <c r="L15" s="935">
        <f>K15*1100</f>
        <v>1100</v>
      </c>
      <c r="M15" s="935">
        <f>K15*25</f>
        <v>25</v>
      </c>
      <c r="N15" s="935">
        <f>K15*'BAREMES UTILISES'!$C$3</f>
        <v>473.08</v>
      </c>
      <c r="O15" s="935">
        <f t="shared" si="1"/>
        <v>601.92000000000007</v>
      </c>
    </row>
    <row r="16" spans="1:15" ht="14.4">
      <c r="A16" s="925" t="s">
        <v>742</v>
      </c>
      <c r="B16" s="926"/>
      <c r="C16" s="924">
        <v>7</v>
      </c>
      <c r="D16" s="935">
        <f>C16*1350</f>
        <v>9450</v>
      </c>
      <c r="E16" s="935"/>
      <c r="F16" s="935">
        <f>C16*'BAREMES UTILISES'!$D$10</f>
        <v>6195</v>
      </c>
      <c r="G16" s="935">
        <f t="shared" si="0"/>
        <v>3255</v>
      </c>
      <c r="I16" s="925" t="s">
        <v>742</v>
      </c>
      <c r="J16" s="926"/>
      <c r="K16" s="924">
        <v>1</v>
      </c>
      <c r="L16" s="935">
        <f>K16*1300</f>
        <v>1300</v>
      </c>
      <c r="M16" s="935"/>
      <c r="N16" s="935">
        <f>K16*'BAREMES UTILISES'!$D$4</f>
        <v>841.23</v>
      </c>
      <c r="O16" s="935">
        <f t="shared" si="1"/>
        <v>458.77</v>
      </c>
    </row>
    <row r="17" spans="1:15" ht="14.4">
      <c r="A17" s="1226" t="s">
        <v>675</v>
      </c>
      <c r="B17" s="1227"/>
      <c r="C17" s="924">
        <v>0</v>
      </c>
      <c r="D17" s="935">
        <f>C17*1350</f>
        <v>0</v>
      </c>
      <c r="E17" s="935"/>
      <c r="F17" s="935">
        <f>C17*'BAREMES UTILISES'!$D$10</f>
        <v>0</v>
      </c>
      <c r="G17" s="935">
        <f t="shared" si="0"/>
        <v>0</v>
      </c>
      <c r="I17" s="1226"/>
      <c r="J17" s="1227"/>
      <c r="K17" s="924"/>
      <c r="L17" s="935"/>
      <c r="M17" s="935"/>
      <c r="N17" s="935"/>
      <c r="O17" s="935"/>
    </row>
    <row r="18" spans="1:15" ht="14.4">
      <c r="A18" s="1221" t="s">
        <v>744</v>
      </c>
      <c r="B18" s="1222"/>
      <c r="C18" s="927">
        <f>SUM(C3:C17)</f>
        <v>65</v>
      </c>
      <c r="D18" s="928">
        <f>SUM(D3:D17)</f>
        <v>92350</v>
      </c>
      <c r="E18" s="928">
        <f>SUM(E3:E17)</f>
        <v>12425</v>
      </c>
      <c r="F18" s="928">
        <f>SUM(F3:F17)</f>
        <v>48514</v>
      </c>
      <c r="G18" s="928">
        <f>SUM(G3:G17)</f>
        <v>31411</v>
      </c>
      <c r="I18" s="1221" t="s">
        <v>744</v>
      </c>
      <c r="J18" s="1222"/>
      <c r="K18" s="927">
        <f>SUM(K3:K17)</f>
        <v>14</v>
      </c>
      <c r="L18" s="928">
        <f>SUM(L3:L17)</f>
        <v>18750</v>
      </c>
      <c r="M18" s="928">
        <f>SUM(M3:M17)</f>
        <v>1725</v>
      </c>
      <c r="N18" s="928">
        <f>SUM(N3:N17)</f>
        <v>10055.189999999999</v>
      </c>
      <c r="O18" s="928">
        <f>SUM(O3:O17)</f>
        <v>6969.8100000000013</v>
      </c>
    </row>
    <row r="20" spans="1:15" ht="14.4">
      <c r="A20" s="1230" t="s">
        <v>745</v>
      </c>
      <c r="B20" s="1230"/>
      <c r="C20" s="1230"/>
      <c r="D20" s="1230"/>
      <c r="E20" s="1230"/>
      <c r="F20" s="1230"/>
      <c r="G20" s="1230"/>
    </row>
    <row r="21" spans="1:15" ht="28.8">
      <c r="A21" s="1221" t="s">
        <v>725</v>
      </c>
      <c r="B21" s="1222"/>
      <c r="C21" s="923" t="s">
        <v>794</v>
      </c>
      <c r="D21" s="923" t="s">
        <v>727</v>
      </c>
      <c r="E21" s="923" t="s">
        <v>728</v>
      </c>
      <c r="F21" s="923" t="s">
        <v>729</v>
      </c>
      <c r="G21" s="923" t="s">
        <v>750</v>
      </c>
    </row>
    <row r="22" spans="1:15" ht="14.4">
      <c r="A22" s="1226" t="s">
        <v>730</v>
      </c>
      <c r="B22" s="1227"/>
      <c r="C22" s="924">
        <v>15</v>
      </c>
      <c r="D22" s="935">
        <f>C22*900</f>
        <v>13500</v>
      </c>
      <c r="E22" s="935"/>
      <c r="F22" s="935">
        <f>C22*'BAREMES UTILISES'!$C$15</f>
        <v>8055</v>
      </c>
      <c r="G22" s="935">
        <f t="shared" ref="G22:G33" si="2">D22-E22-F22</f>
        <v>5445</v>
      </c>
    </row>
    <row r="23" spans="1:15" ht="14.4">
      <c r="A23" s="1226" t="s">
        <v>732</v>
      </c>
      <c r="B23" s="1227"/>
      <c r="C23" s="924">
        <v>4</v>
      </c>
      <c r="D23" s="935">
        <f>C23*6500</f>
        <v>26000</v>
      </c>
      <c r="E23" s="935">
        <f>C23*1200</f>
        <v>4800</v>
      </c>
      <c r="F23" s="935">
        <f>C23*'BAREMES UTILISES'!$K$17</f>
        <v>13680</v>
      </c>
      <c r="G23" s="935">
        <f t="shared" si="2"/>
        <v>7520</v>
      </c>
    </row>
    <row r="24" spans="1:15" ht="14.4">
      <c r="A24" s="1226" t="s">
        <v>733</v>
      </c>
      <c r="B24" s="1227"/>
      <c r="C24" s="924">
        <v>4</v>
      </c>
      <c r="D24" s="935">
        <f>C24*900</f>
        <v>3600</v>
      </c>
      <c r="E24" s="935"/>
      <c r="F24" s="935">
        <f>C24*'BAREMES UTILISES'!$C$15</f>
        <v>2148</v>
      </c>
      <c r="G24" s="935">
        <f t="shared" si="2"/>
        <v>1452</v>
      </c>
    </row>
    <row r="25" spans="1:15" ht="14.4">
      <c r="A25" s="1226" t="s">
        <v>747</v>
      </c>
      <c r="B25" s="1227"/>
      <c r="C25" s="924"/>
      <c r="D25" s="935">
        <f>C25*2500</f>
        <v>0</v>
      </c>
      <c r="E25" s="935"/>
      <c r="F25" s="935">
        <f>C25*'BAREMES UTILISES'!$G$16</f>
        <v>0</v>
      </c>
      <c r="G25" s="935">
        <f t="shared" si="2"/>
        <v>0</v>
      </c>
    </row>
    <row r="26" spans="1:15" ht="14.4">
      <c r="A26" s="1226" t="s">
        <v>735</v>
      </c>
      <c r="B26" s="1227"/>
      <c r="C26" s="924">
        <v>5</v>
      </c>
      <c r="D26" s="935">
        <f>C26*1400</f>
        <v>7000</v>
      </c>
      <c r="E26" s="935"/>
      <c r="F26" s="935">
        <f>C26*'BAREMES UTILISES'!$D$16</f>
        <v>4687.5</v>
      </c>
      <c r="G26" s="935">
        <f t="shared" si="2"/>
        <v>2312.5</v>
      </c>
    </row>
    <row r="27" spans="1:15" ht="14.4">
      <c r="A27" s="1226" t="s">
        <v>760</v>
      </c>
      <c r="B27" s="1227"/>
      <c r="C27" s="924">
        <v>8</v>
      </c>
      <c r="D27" s="935">
        <f>C27*900</f>
        <v>7200</v>
      </c>
      <c r="E27" s="935"/>
      <c r="F27" s="935">
        <f>C27*'BAREMES UTILISES'!$C$15</f>
        <v>4296</v>
      </c>
      <c r="G27" s="935">
        <f t="shared" si="2"/>
        <v>2904</v>
      </c>
    </row>
    <row r="28" spans="1:15" ht="14.4">
      <c r="A28" s="1226" t="s">
        <v>765</v>
      </c>
      <c r="B28" s="1227"/>
      <c r="C28" s="924">
        <v>4</v>
      </c>
      <c r="D28" s="935">
        <f>C28*1000</f>
        <v>4000</v>
      </c>
      <c r="E28" s="935"/>
      <c r="F28" s="935">
        <f>C28*'BAREMES UTILISES'!$C$15</f>
        <v>2148</v>
      </c>
      <c r="G28" s="935">
        <f t="shared" si="2"/>
        <v>1852</v>
      </c>
    </row>
    <row r="29" spans="1:15" ht="14.4">
      <c r="A29" s="1226" t="s">
        <v>713</v>
      </c>
      <c r="B29" s="1227"/>
      <c r="C29" s="924">
        <v>11</v>
      </c>
      <c r="D29" s="935">
        <f>C29*1600</f>
        <v>17600</v>
      </c>
      <c r="E29" s="935">
        <f>C29*500</f>
        <v>5500</v>
      </c>
      <c r="F29" s="935">
        <f>C29*'BAREMES UTILISES'!$C$16</f>
        <v>6875</v>
      </c>
      <c r="G29" s="935">
        <f t="shared" si="2"/>
        <v>5225</v>
      </c>
    </row>
    <row r="30" spans="1:15" ht="14.4">
      <c r="A30" s="925" t="s">
        <v>739</v>
      </c>
      <c r="B30" s="926"/>
      <c r="C30" s="924"/>
      <c r="D30" s="935">
        <f>C30*350</f>
        <v>0</v>
      </c>
      <c r="E30" s="935"/>
      <c r="F30" s="935">
        <f>C30*'BAREMES UTILISES'!$B$16</f>
        <v>0</v>
      </c>
      <c r="G30" s="935">
        <f t="shared" si="2"/>
        <v>0</v>
      </c>
    </row>
    <row r="31" spans="1:15" ht="14.4">
      <c r="A31" s="925" t="s">
        <v>741</v>
      </c>
      <c r="B31" s="926"/>
      <c r="C31" s="924">
        <v>8</v>
      </c>
      <c r="D31" s="935">
        <f>C31*1200</f>
        <v>9600</v>
      </c>
      <c r="E31" s="935">
        <f>C31*25</f>
        <v>200</v>
      </c>
      <c r="F31" s="935">
        <f>C31*'BAREMES UTILISES'!$C$15</f>
        <v>4296</v>
      </c>
      <c r="G31" s="935">
        <f t="shared" si="2"/>
        <v>5104</v>
      </c>
    </row>
    <row r="32" spans="1:15" ht="14.4">
      <c r="A32" s="925" t="s">
        <v>742</v>
      </c>
      <c r="B32" s="926"/>
      <c r="C32" s="924">
        <v>8</v>
      </c>
      <c r="D32" s="935">
        <f>C32*1400</f>
        <v>11200</v>
      </c>
      <c r="E32" s="935"/>
      <c r="F32" s="935">
        <f>C32*'BAREMES UTILISES'!$D$16</f>
        <v>7500</v>
      </c>
      <c r="G32" s="935">
        <f t="shared" si="2"/>
        <v>3700</v>
      </c>
    </row>
    <row r="33" spans="1:7" ht="14.4">
      <c r="A33" s="925" t="s">
        <v>675</v>
      </c>
      <c r="B33" s="926"/>
      <c r="C33" s="924"/>
      <c r="D33" s="935">
        <f>C33*1400</f>
        <v>0</v>
      </c>
      <c r="E33" s="935"/>
      <c r="F33" s="935">
        <f>C33*'BAREMES UTILISES'!$D$16</f>
        <v>0</v>
      </c>
      <c r="G33" s="935">
        <f t="shared" si="2"/>
        <v>0</v>
      </c>
    </row>
    <row r="34" spans="1:7" ht="14.4">
      <c r="A34" s="922" t="s">
        <v>744</v>
      </c>
      <c r="B34" s="1013"/>
      <c r="C34" s="927">
        <f>SUM(C22:C33)</f>
        <v>67</v>
      </c>
      <c r="D34" s="928">
        <f>SUM(D22:D33)</f>
        <v>99700</v>
      </c>
      <c r="E34" s="928">
        <f>SUM(E22:E33)</f>
        <v>10500</v>
      </c>
      <c r="F34" s="928">
        <f>SUM(F22:F33)</f>
        <v>53685.5</v>
      </c>
      <c r="G34" s="928">
        <f>SUM(G22:G33)</f>
        <v>35514.5</v>
      </c>
    </row>
    <row r="36" spans="1:7" ht="14.4">
      <c r="A36" s="1230" t="s">
        <v>746</v>
      </c>
      <c r="B36" s="1230"/>
      <c r="C36" s="1230"/>
      <c r="D36" s="1230"/>
      <c r="E36" s="1230"/>
      <c r="F36" s="1230"/>
      <c r="G36" s="1230"/>
    </row>
    <row r="37" spans="1:7" ht="28.8">
      <c r="A37" s="1221" t="s">
        <v>725</v>
      </c>
      <c r="B37" s="1222"/>
      <c r="C37" s="923" t="s">
        <v>794</v>
      </c>
      <c r="D37" s="923" t="s">
        <v>727</v>
      </c>
      <c r="E37" s="923" t="s">
        <v>728</v>
      </c>
      <c r="F37" s="923" t="s">
        <v>729</v>
      </c>
      <c r="G37" s="923" t="s">
        <v>750</v>
      </c>
    </row>
    <row r="38" spans="1:7" ht="14.4">
      <c r="A38" s="1226" t="s">
        <v>730</v>
      </c>
      <c r="B38" s="1227"/>
      <c r="C38" s="924">
        <v>15</v>
      </c>
      <c r="D38" s="935">
        <f>C38*900</f>
        <v>13500</v>
      </c>
      <c r="E38" s="935"/>
      <c r="F38" s="935">
        <f>C38*'BAREMES UTILISES'!$C$15</f>
        <v>8055</v>
      </c>
      <c r="G38" s="935">
        <f t="shared" ref="G38:G49" si="3">D38-E38-F38</f>
        <v>5445</v>
      </c>
    </row>
    <row r="39" spans="1:7" ht="14.4">
      <c r="A39" s="1226" t="s">
        <v>732</v>
      </c>
      <c r="B39" s="1227"/>
      <c r="C39" s="924">
        <v>4</v>
      </c>
      <c r="D39" s="935">
        <f>C39*6500</f>
        <v>26000</v>
      </c>
      <c r="E39" s="935">
        <f>C39*1200</f>
        <v>4800</v>
      </c>
      <c r="F39" s="935">
        <f>C39*'BAREMES UTILISES'!$K$17</f>
        <v>13680</v>
      </c>
      <c r="G39" s="935">
        <f t="shared" si="3"/>
        <v>7520</v>
      </c>
    </row>
    <row r="40" spans="1:7" ht="14.4">
      <c r="A40" s="1226" t="s">
        <v>733</v>
      </c>
      <c r="B40" s="1227"/>
      <c r="C40" s="924">
        <v>5</v>
      </c>
      <c r="D40" s="935">
        <f>C40*900</f>
        <v>4500</v>
      </c>
      <c r="E40" s="935"/>
      <c r="F40" s="935">
        <f>C40*'BAREMES UTILISES'!$C$15</f>
        <v>2685</v>
      </c>
      <c r="G40" s="935">
        <f t="shared" si="3"/>
        <v>1815</v>
      </c>
    </row>
    <row r="41" spans="1:7" ht="14.4">
      <c r="A41" s="1226" t="s">
        <v>747</v>
      </c>
      <c r="B41" s="1227"/>
      <c r="C41" s="924">
        <v>1</v>
      </c>
      <c r="D41" s="935">
        <f>C41*2500</f>
        <v>2500</v>
      </c>
      <c r="E41" s="935"/>
      <c r="F41" s="935">
        <f>C41*'BAREMES UTILISES'!$G$16</f>
        <v>1875</v>
      </c>
      <c r="G41" s="935">
        <f t="shared" si="3"/>
        <v>625</v>
      </c>
    </row>
    <row r="42" spans="1:7" ht="14.4">
      <c r="A42" s="1226" t="s">
        <v>735</v>
      </c>
      <c r="B42" s="1227"/>
      <c r="C42" s="924">
        <v>4</v>
      </c>
      <c r="D42" s="935">
        <f>C42*1400</f>
        <v>5600</v>
      </c>
      <c r="E42" s="935"/>
      <c r="F42" s="935">
        <f>C42*'BAREMES UTILISES'!$D$16</f>
        <v>3750</v>
      </c>
      <c r="G42" s="935">
        <f t="shared" si="3"/>
        <v>1850</v>
      </c>
    </row>
    <row r="43" spans="1:7" ht="14.4">
      <c r="A43" s="1226" t="s">
        <v>760</v>
      </c>
      <c r="B43" s="1227"/>
      <c r="C43" s="924">
        <v>8</v>
      </c>
      <c r="D43" s="935">
        <f>C43*900</f>
        <v>7200</v>
      </c>
      <c r="E43" s="935"/>
      <c r="F43" s="935">
        <f>C43*'BAREMES UTILISES'!$C$15</f>
        <v>4296</v>
      </c>
      <c r="G43" s="935">
        <f t="shared" si="3"/>
        <v>2904</v>
      </c>
    </row>
    <row r="44" spans="1:7" ht="14.4">
      <c r="A44" s="1226" t="s">
        <v>736</v>
      </c>
      <c r="B44" s="1227"/>
      <c r="C44" s="924">
        <v>6</v>
      </c>
      <c r="D44" s="935">
        <f>C44*1000</f>
        <v>6000</v>
      </c>
      <c r="E44" s="935"/>
      <c r="F44" s="935">
        <f>C44*'BAREMES UTILISES'!$C$15</f>
        <v>3222</v>
      </c>
      <c r="G44" s="935">
        <f t="shared" si="3"/>
        <v>2778</v>
      </c>
    </row>
    <row r="45" spans="1:7" ht="14.4">
      <c r="A45" s="1226" t="s">
        <v>713</v>
      </c>
      <c r="B45" s="1227"/>
      <c r="C45" s="924">
        <v>11</v>
      </c>
      <c r="D45" s="935">
        <f>C45*1600</f>
        <v>17600</v>
      </c>
      <c r="E45" s="935">
        <f>C45*500</f>
        <v>5500</v>
      </c>
      <c r="F45" s="935">
        <f>C45*'BAREMES UTILISES'!$C$16</f>
        <v>6875</v>
      </c>
      <c r="G45" s="935">
        <f t="shared" si="3"/>
        <v>5225</v>
      </c>
    </row>
    <row r="46" spans="1:7" ht="14.4">
      <c r="A46" s="925" t="s">
        <v>739</v>
      </c>
      <c r="B46" s="926"/>
      <c r="C46" s="924"/>
      <c r="D46" s="935">
        <f>C46*450</f>
        <v>0</v>
      </c>
      <c r="E46" s="935"/>
      <c r="F46" s="935">
        <f>C46*'BAREMES UTILISES'!$B$16</f>
        <v>0</v>
      </c>
      <c r="G46" s="935">
        <f t="shared" si="3"/>
        <v>0</v>
      </c>
    </row>
    <row r="47" spans="1:7" ht="14.4">
      <c r="A47" s="925" t="s">
        <v>741</v>
      </c>
      <c r="B47" s="926"/>
      <c r="C47" s="924">
        <v>10</v>
      </c>
      <c r="D47" s="935">
        <f>C47*1200</f>
        <v>12000</v>
      </c>
      <c r="E47" s="935">
        <f>C47*25</f>
        <v>250</v>
      </c>
      <c r="F47" s="935">
        <f>C47*'BAREMES UTILISES'!$C$15</f>
        <v>5370</v>
      </c>
      <c r="G47" s="935">
        <f t="shared" si="3"/>
        <v>6380</v>
      </c>
    </row>
    <row r="48" spans="1:7" ht="14.4">
      <c r="A48" s="925" t="s">
        <v>742</v>
      </c>
      <c r="B48" s="926"/>
      <c r="C48" s="924">
        <v>10</v>
      </c>
      <c r="D48" s="935">
        <f>C48*1400</f>
        <v>14000</v>
      </c>
      <c r="E48" s="935"/>
      <c r="F48" s="935">
        <f>C48*'BAREMES UTILISES'!$D$16</f>
        <v>9375</v>
      </c>
      <c r="G48" s="935">
        <f t="shared" si="3"/>
        <v>4625</v>
      </c>
    </row>
    <row r="49" spans="1:7" ht="14.4">
      <c r="A49" s="925" t="s">
        <v>675</v>
      </c>
      <c r="B49" s="926"/>
      <c r="C49" s="924">
        <v>3</v>
      </c>
      <c r="D49" s="935">
        <f>C49*1400</f>
        <v>4200</v>
      </c>
      <c r="E49" s="935"/>
      <c r="F49" s="935">
        <f>C49*'BAREMES UTILISES'!$C$16</f>
        <v>1875</v>
      </c>
      <c r="G49" s="935">
        <f t="shared" si="3"/>
        <v>2325</v>
      </c>
    </row>
    <row r="50" spans="1:7" ht="14.4">
      <c r="A50" s="1221" t="s">
        <v>744</v>
      </c>
      <c r="B50" s="1222"/>
      <c r="C50" s="927">
        <f>SUM(C38:C49)</f>
        <v>77</v>
      </c>
      <c r="D50" s="928">
        <f>SUM(D38:D49)</f>
        <v>113100</v>
      </c>
      <c r="E50" s="928">
        <f>SUM(E38:E49)</f>
        <v>10550</v>
      </c>
      <c r="F50" s="928">
        <f>SUM(F38:F49)</f>
        <v>61058</v>
      </c>
      <c r="G50" s="928">
        <f>SUM(G38:G49)</f>
        <v>41492</v>
      </c>
    </row>
  </sheetData>
  <mergeCells count="49">
    <mergeCell ref="A6:B6"/>
    <mergeCell ref="A7:B7"/>
    <mergeCell ref="A8:B8"/>
    <mergeCell ref="A9:B9"/>
    <mergeCell ref="A1:G1"/>
    <mergeCell ref="A2:B2"/>
    <mergeCell ref="A3:B3"/>
    <mergeCell ref="A4:B4"/>
    <mergeCell ref="A5:B5"/>
    <mergeCell ref="A36:G36"/>
    <mergeCell ref="A10:B10"/>
    <mergeCell ref="A11:B11"/>
    <mergeCell ref="A12:B12"/>
    <mergeCell ref="A17:B17"/>
    <mergeCell ref="A18:B18"/>
    <mergeCell ref="A22:B22"/>
    <mergeCell ref="A23:B23"/>
    <mergeCell ref="A24:B24"/>
    <mergeCell ref="A26:B26"/>
    <mergeCell ref="A29:B29"/>
    <mergeCell ref="I6:J6"/>
    <mergeCell ref="A50:B50"/>
    <mergeCell ref="A41:B41"/>
    <mergeCell ref="A42:B42"/>
    <mergeCell ref="A44:B44"/>
    <mergeCell ref="A45:B45"/>
    <mergeCell ref="A37:B37"/>
    <mergeCell ref="A38:B38"/>
    <mergeCell ref="A39:B39"/>
    <mergeCell ref="A40:B40"/>
    <mergeCell ref="A43:B43"/>
    <mergeCell ref="A20:G20"/>
    <mergeCell ref="A27:B27"/>
    <mergeCell ref="A25:B25"/>
    <mergeCell ref="A28:B28"/>
    <mergeCell ref="A21:B21"/>
    <mergeCell ref="I1:O1"/>
    <mergeCell ref="I2:J2"/>
    <mergeCell ref="I3:J3"/>
    <mergeCell ref="I4:J4"/>
    <mergeCell ref="I5:J5"/>
    <mergeCell ref="I17:J17"/>
    <mergeCell ref="I18:J18"/>
    <mergeCell ref="I7:J7"/>
    <mergeCell ref="I8:J8"/>
    <mergeCell ref="I9:J9"/>
    <mergeCell ref="I10:J10"/>
    <mergeCell ref="I11:J11"/>
    <mergeCell ref="I12:J12"/>
  </mergeCells>
  <conditionalFormatting sqref="F2:G3 C8:F8 G4:G8 F4:F7 C9:G18 A2:A18">
    <cfRule type="containsErrors" dxfId="29" priority="9">
      <formula>ISERROR(A2)</formula>
    </cfRule>
  </conditionalFormatting>
  <conditionalFormatting sqref="A1">
    <cfRule type="containsErrors" dxfId="28" priority="8">
      <formula>ISERROR(A1)</formula>
    </cfRule>
  </conditionalFormatting>
  <conditionalFormatting sqref="C26:G34 F21:G25 A21:A34">
    <cfRule type="containsErrors" dxfId="27" priority="7">
      <formula>ISERROR(A21)</formula>
    </cfRule>
  </conditionalFormatting>
  <conditionalFormatting sqref="A20">
    <cfRule type="containsErrors" dxfId="26" priority="6">
      <formula>ISERROR(A20)</formula>
    </cfRule>
  </conditionalFormatting>
  <conditionalFormatting sqref="C42:G50 F37:G41 A38:A49">
    <cfRule type="containsErrors" dxfId="25" priority="5">
      <formula>ISERROR(A37)</formula>
    </cfRule>
  </conditionalFormatting>
  <conditionalFormatting sqref="A37 A50">
    <cfRule type="containsErrors" dxfId="24" priority="4">
      <formula>ISERROR(A37)</formula>
    </cfRule>
  </conditionalFormatting>
  <conditionalFormatting sqref="A36">
    <cfRule type="containsErrors" dxfId="23" priority="3">
      <formula>ISERROR(A36)</formula>
    </cfRule>
  </conditionalFormatting>
  <conditionalFormatting sqref="N2:O3 K8:N8 O4:O8 N4:N7 K9:O18 I2:I18">
    <cfRule type="containsErrors" dxfId="22" priority="2">
      <formula>ISERROR(I2)</formula>
    </cfRule>
  </conditionalFormatting>
  <conditionalFormatting sqref="I1">
    <cfRule type="containsErrors" dxfId="21" priority="1">
      <formula>ISERROR(I1)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297F8-2038-45F7-AEC9-43415A418F6C}">
  <sheetPr>
    <tabColor theme="4"/>
  </sheetPr>
  <dimension ref="A1:Q46"/>
  <sheetViews>
    <sheetView topLeftCell="B1" workbookViewId="0">
      <selection activeCell="Q27" sqref="Q27"/>
    </sheetView>
    <sheetView workbookViewId="1">
      <selection sqref="A1:A2"/>
    </sheetView>
  </sheetViews>
  <sheetFormatPr baseColWidth="10" defaultRowHeight="13.2"/>
  <sheetData>
    <row r="1" spans="1:14" ht="14.4">
      <c r="A1" s="1231" t="s">
        <v>769</v>
      </c>
      <c r="B1" s="1221" t="s">
        <v>749</v>
      </c>
      <c r="C1" s="1223"/>
      <c r="D1" s="1223"/>
      <c r="E1" s="1223"/>
      <c r="F1" s="1223"/>
      <c r="G1" s="1223"/>
      <c r="H1" s="1223"/>
      <c r="I1" s="1223"/>
      <c r="J1" s="1223"/>
      <c r="K1" s="1223"/>
      <c r="L1" s="1222"/>
    </row>
    <row r="2" spans="1:14" ht="14.4">
      <c r="A2" s="1232"/>
      <c r="B2" s="922">
        <v>1</v>
      </c>
      <c r="C2" s="922">
        <v>2</v>
      </c>
      <c r="D2" s="922">
        <v>3</v>
      </c>
      <c r="E2" s="922">
        <v>4</v>
      </c>
      <c r="F2" s="923">
        <v>5</v>
      </c>
      <c r="G2" s="923">
        <v>6</v>
      </c>
      <c r="H2" s="923">
        <v>7</v>
      </c>
      <c r="I2" s="923">
        <v>8</v>
      </c>
      <c r="J2" s="923">
        <v>9</v>
      </c>
      <c r="K2" s="923">
        <v>10</v>
      </c>
      <c r="L2" s="923">
        <v>11</v>
      </c>
    </row>
    <row r="3" spans="1:14" ht="14.4">
      <c r="A3" s="922" t="s">
        <v>748</v>
      </c>
      <c r="B3" s="958">
        <v>236.54</v>
      </c>
      <c r="C3" s="958">
        <f t="shared" ref="C3:L5" si="0">$B3*C$2</f>
        <v>473.08</v>
      </c>
      <c r="D3" s="958">
        <f t="shared" si="0"/>
        <v>709.62</v>
      </c>
      <c r="E3" s="958">
        <f t="shared" si="0"/>
        <v>946.16</v>
      </c>
      <c r="F3" s="958">
        <f t="shared" si="0"/>
        <v>1182.7</v>
      </c>
      <c r="G3" s="958">
        <f t="shared" si="0"/>
        <v>1419.24</v>
      </c>
      <c r="H3" s="958">
        <f t="shared" si="0"/>
        <v>1655.78</v>
      </c>
      <c r="I3" s="958">
        <f t="shared" si="0"/>
        <v>1892.32</v>
      </c>
      <c r="J3" s="958">
        <f t="shared" si="0"/>
        <v>2128.86</v>
      </c>
      <c r="K3" s="958">
        <f t="shared" si="0"/>
        <v>2365.4</v>
      </c>
      <c r="L3" s="958">
        <f t="shared" si="0"/>
        <v>2601.94</v>
      </c>
    </row>
    <row r="4" spans="1:14" ht="14.4">
      <c r="A4" s="922" t="s">
        <v>761</v>
      </c>
      <c r="B4" s="958">
        <v>280.41000000000003</v>
      </c>
      <c r="C4" s="958">
        <f t="shared" si="0"/>
        <v>560.82000000000005</v>
      </c>
      <c r="D4" s="958">
        <f t="shared" si="0"/>
        <v>841.23</v>
      </c>
      <c r="E4" s="958">
        <f t="shared" si="0"/>
        <v>1121.6400000000001</v>
      </c>
      <c r="F4" s="958">
        <f t="shared" si="0"/>
        <v>1402.0500000000002</v>
      </c>
      <c r="G4" s="958">
        <f t="shared" si="0"/>
        <v>1682.46</v>
      </c>
      <c r="H4" s="958">
        <f t="shared" si="0"/>
        <v>1962.8700000000001</v>
      </c>
      <c r="I4" s="958">
        <f t="shared" si="0"/>
        <v>2243.2800000000002</v>
      </c>
      <c r="J4" s="958">
        <f t="shared" si="0"/>
        <v>2523.69</v>
      </c>
      <c r="K4" s="958">
        <f t="shared" si="0"/>
        <v>2804.1000000000004</v>
      </c>
      <c r="L4" s="958">
        <f t="shared" si="0"/>
        <v>3084.51</v>
      </c>
    </row>
    <row r="5" spans="1:14" ht="14.4">
      <c r="A5" s="922" t="s">
        <v>762</v>
      </c>
      <c r="B5" s="958">
        <v>309.83</v>
      </c>
      <c r="C5" s="958">
        <f t="shared" si="0"/>
        <v>619.66</v>
      </c>
      <c r="D5" s="958">
        <f t="shared" si="0"/>
        <v>929.49</v>
      </c>
      <c r="E5" s="958">
        <f t="shared" si="0"/>
        <v>1239.32</v>
      </c>
      <c r="F5" s="958">
        <f t="shared" si="0"/>
        <v>1549.1499999999999</v>
      </c>
      <c r="G5" s="958">
        <f t="shared" si="0"/>
        <v>1858.98</v>
      </c>
      <c r="H5" s="958">
        <f t="shared" si="0"/>
        <v>2168.81</v>
      </c>
      <c r="I5" s="958">
        <f t="shared" si="0"/>
        <v>2478.64</v>
      </c>
      <c r="J5" s="958">
        <f t="shared" si="0"/>
        <v>2788.47</v>
      </c>
      <c r="K5" s="958">
        <f t="shared" si="0"/>
        <v>3098.2999999999997</v>
      </c>
      <c r="L5" s="958">
        <f t="shared" si="0"/>
        <v>3408.1299999999997</v>
      </c>
    </row>
    <row r="7" spans="1:14" ht="14.4">
      <c r="A7" s="1231" t="s">
        <v>775</v>
      </c>
      <c r="B7" s="1233" t="s">
        <v>749</v>
      </c>
      <c r="C7" s="1233"/>
      <c r="D7" s="1233"/>
      <c r="E7" s="1233"/>
      <c r="F7" s="1233"/>
      <c r="G7" s="1233"/>
      <c r="H7" s="1233"/>
      <c r="I7" s="1233"/>
      <c r="J7" s="1233"/>
      <c r="K7" s="1233"/>
      <c r="L7" s="1233"/>
    </row>
    <row r="8" spans="1:14" ht="14.4">
      <c r="A8" s="1232"/>
      <c r="B8" s="922">
        <v>1</v>
      </c>
      <c r="C8" s="922">
        <v>2</v>
      </c>
      <c r="D8" s="922">
        <v>3</v>
      </c>
      <c r="E8" s="922">
        <v>4</v>
      </c>
      <c r="F8" s="923">
        <v>5</v>
      </c>
      <c r="G8" s="923">
        <v>6</v>
      </c>
      <c r="H8" s="923">
        <v>7</v>
      </c>
      <c r="I8" s="923">
        <v>8</v>
      </c>
      <c r="J8" s="923">
        <v>9</v>
      </c>
      <c r="K8" s="923">
        <v>10</v>
      </c>
      <c r="L8" s="923">
        <v>11</v>
      </c>
    </row>
    <row r="9" spans="1:14" ht="14.4">
      <c r="A9" s="922" t="s">
        <v>776</v>
      </c>
      <c r="B9" s="958">
        <v>251</v>
      </c>
      <c r="C9" s="958">
        <f t="shared" ref="C9:L11" si="1">$B9*C$8</f>
        <v>502</v>
      </c>
      <c r="D9" s="958">
        <f t="shared" si="1"/>
        <v>753</v>
      </c>
      <c r="E9" s="958">
        <f t="shared" si="1"/>
        <v>1004</v>
      </c>
      <c r="F9" s="958">
        <f t="shared" si="1"/>
        <v>1255</v>
      </c>
      <c r="G9" s="958">
        <f t="shared" si="1"/>
        <v>1506</v>
      </c>
      <c r="H9" s="958">
        <f t="shared" si="1"/>
        <v>1757</v>
      </c>
      <c r="I9" s="958">
        <f t="shared" si="1"/>
        <v>2008</v>
      </c>
      <c r="J9" s="958">
        <f t="shared" si="1"/>
        <v>2259</v>
      </c>
      <c r="K9" s="958">
        <f t="shared" si="1"/>
        <v>2510</v>
      </c>
      <c r="L9" s="958">
        <f t="shared" si="1"/>
        <v>2761</v>
      </c>
    </row>
    <row r="10" spans="1:14" ht="14.4">
      <c r="A10" s="922" t="s">
        <v>777</v>
      </c>
      <c r="B10" s="958">
        <v>295</v>
      </c>
      <c r="C10" s="958">
        <f t="shared" si="1"/>
        <v>590</v>
      </c>
      <c r="D10" s="958">
        <f t="shared" si="1"/>
        <v>885</v>
      </c>
      <c r="E10" s="958">
        <f t="shared" si="1"/>
        <v>1180</v>
      </c>
      <c r="F10" s="958">
        <f t="shared" si="1"/>
        <v>1475</v>
      </c>
      <c r="G10" s="958">
        <f t="shared" si="1"/>
        <v>1770</v>
      </c>
      <c r="H10" s="958">
        <f t="shared" si="1"/>
        <v>2065</v>
      </c>
      <c r="I10" s="958">
        <f t="shared" si="1"/>
        <v>2360</v>
      </c>
      <c r="J10" s="958">
        <f t="shared" si="1"/>
        <v>2655</v>
      </c>
      <c r="K10" s="958">
        <f t="shared" si="1"/>
        <v>2950</v>
      </c>
      <c r="L10" s="958">
        <f t="shared" si="1"/>
        <v>3245</v>
      </c>
    </row>
    <row r="11" spans="1:14" ht="14.4">
      <c r="A11" s="922" t="s">
        <v>778</v>
      </c>
      <c r="B11" s="958">
        <v>324.5</v>
      </c>
      <c r="C11" s="958">
        <f t="shared" si="1"/>
        <v>649</v>
      </c>
      <c r="D11" s="958">
        <f t="shared" si="1"/>
        <v>973.5</v>
      </c>
      <c r="E11" s="958">
        <f t="shared" si="1"/>
        <v>1298</v>
      </c>
      <c r="F11" s="958">
        <f t="shared" si="1"/>
        <v>1622.5</v>
      </c>
      <c r="G11" s="958">
        <f t="shared" si="1"/>
        <v>1947</v>
      </c>
      <c r="H11" s="958">
        <f t="shared" si="1"/>
        <v>2271.5</v>
      </c>
      <c r="I11" s="958">
        <f t="shared" si="1"/>
        <v>2596</v>
      </c>
      <c r="J11" s="958">
        <f t="shared" si="1"/>
        <v>2920.5</v>
      </c>
      <c r="K11" s="958">
        <f t="shared" si="1"/>
        <v>3245</v>
      </c>
      <c r="L11" s="958">
        <f t="shared" si="1"/>
        <v>3569.5</v>
      </c>
    </row>
    <row r="13" spans="1:14" ht="14.4">
      <c r="A13" s="1231" t="s">
        <v>795</v>
      </c>
      <c r="B13" s="1221" t="s">
        <v>749</v>
      </c>
      <c r="C13" s="1223"/>
      <c r="D13" s="1223"/>
      <c r="E13" s="1223"/>
      <c r="F13" s="1223"/>
      <c r="G13" s="1223"/>
      <c r="H13" s="1223"/>
      <c r="I13" s="1223"/>
      <c r="J13" s="1223"/>
      <c r="K13" s="1223"/>
      <c r="L13" s="1222"/>
    </row>
    <row r="14" spans="1:14" ht="14.4">
      <c r="A14" s="1232"/>
      <c r="B14" s="922">
        <v>1</v>
      </c>
      <c r="C14" s="922">
        <v>2</v>
      </c>
      <c r="D14" s="922">
        <v>3</v>
      </c>
      <c r="E14" s="922">
        <v>4</v>
      </c>
      <c r="F14" s="923">
        <v>5</v>
      </c>
      <c r="G14" s="923">
        <v>6</v>
      </c>
      <c r="H14" s="923">
        <v>7</v>
      </c>
      <c r="I14" s="923">
        <v>8</v>
      </c>
      <c r="J14" s="923">
        <v>9</v>
      </c>
      <c r="K14" s="923">
        <v>10</v>
      </c>
      <c r="L14" s="923">
        <v>11</v>
      </c>
    </row>
    <row r="15" spans="1:14" ht="14.4">
      <c r="A15" s="922" t="s">
        <v>779</v>
      </c>
      <c r="B15" s="958">
        <v>268.5</v>
      </c>
      <c r="C15" s="958">
        <f t="shared" ref="C15:L17" si="2">$B15*C$14</f>
        <v>537</v>
      </c>
      <c r="D15" s="958">
        <f t="shared" si="2"/>
        <v>805.5</v>
      </c>
      <c r="E15" s="958">
        <f t="shared" si="2"/>
        <v>1074</v>
      </c>
      <c r="F15" s="958">
        <f t="shared" si="2"/>
        <v>1342.5</v>
      </c>
      <c r="G15" s="958">
        <f t="shared" si="2"/>
        <v>1611</v>
      </c>
      <c r="H15" s="958">
        <f t="shared" si="2"/>
        <v>1879.5</v>
      </c>
      <c r="I15" s="958">
        <f t="shared" si="2"/>
        <v>2148</v>
      </c>
      <c r="J15" s="958">
        <f t="shared" si="2"/>
        <v>2416.5</v>
      </c>
      <c r="K15" s="958">
        <f t="shared" si="2"/>
        <v>2685</v>
      </c>
      <c r="L15" s="958">
        <f t="shared" si="2"/>
        <v>2953.5</v>
      </c>
      <c r="N15">
        <v>3250</v>
      </c>
    </row>
    <row r="16" spans="1:14" ht="14.4">
      <c r="A16" s="922" t="s">
        <v>780</v>
      </c>
      <c r="B16" s="958">
        <v>312.5</v>
      </c>
      <c r="C16" s="958">
        <f t="shared" si="2"/>
        <v>625</v>
      </c>
      <c r="D16" s="958">
        <f t="shared" si="2"/>
        <v>937.5</v>
      </c>
      <c r="E16" s="958">
        <f t="shared" si="2"/>
        <v>1250</v>
      </c>
      <c r="F16" s="958">
        <f t="shared" si="2"/>
        <v>1562.5</v>
      </c>
      <c r="G16" s="958">
        <f t="shared" si="2"/>
        <v>1875</v>
      </c>
      <c r="H16" s="958">
        <f t="shared" si="2"/>
        <v>2187.5</v>
      </c>
      <c r="I16" s="958">
        <f t="shared" si="2"/>
        <v>2500</v>
      </c>
      <c r="J16" s="958">
        <f t="shared" si="2"/>
        <v>2812.5</v>
      </c>
      <c r="K16" s="958">
        <f t="shared" si="2"/>
        <v>3125</v>
      </c>
      <c r="L16" s="958">
        <f t="shared" si="2"/>
        <v>3437.5</v>
      </c>
      <c r="N16">
        <v>3900</v>
      </c>
    </row>
    <row r="17" spans="1:17" ht="14.4">
      <c r="A17" s="922" t="s">
        <v>781</v>
      </c>
      <c r="B17" s="958">
        <v>342</v>
      </c>
      <c r="C17" s="958">
        <f t="shared" si="2"/>
        <v>684</v>
      </c>
      <c r="D17" s="958">
        <f t="shared" si="2"/>
        <v>1026</v>
      </c>
      <c r="E17" s="958">
        <f t="shared" si="2"/>
        <v>1368</v>
      </c>
      <c r="F17" s="958">
        <f t="shared" si="2"/>
        <v>1710</v>
      </c>
      <c r="G17" s="958">
        <f t="shared" si="2"/>
        <v>2052</v>
      </c>
      <c r="H17" s="958">
        <f t="shared" si="2"/>
        <v>2394</v>
      </c>
      <c r="I17" s="958">
        <f t="shared" si="2"/>
        <v>2736</v>
      </c>
      <c r="J17" s="958">
        <f t="shared" si="2"/>
        <v>3078</v>
      </c>
      <c r="K17" s="958">
        <f t="shared" si="2"/>
        <v>3420</v>
      </c>
      <c r="L17" s="958">
        <f t="shared" si="2"/>
        <v>3762</v>
      </c>
      <c r="N17">
        <v>4333</v>
      </c>
    </row>
    <row r="21" spans="1:17" ht="14.4" thickBot="1">
      <c r="A21" s="863"/>
      <c r="B21" s="864" t="s">
        <v>678</v>
      </c>
      <c r="C21" s="863"/>
      <c r="D21" s="863"/>
      <c r="E21" s="863"/>
      <c r="F21" s="863" t="s">
        <v>679</v>
      </c>
      <c r="G21" s="863"/>
      <c r="H21" s="863"/>
      <c r="I21" s="863"/>
      <c r="J21" s="863"/>
      <c r="K21" s="863"/>
      <c r="L21" s="863"/>
      <c r="M21" s="863"/>
      <c r="N21" s="863"/>
    </row>
    <row r="22" spans="1:17" ht="13.8">
      <c r="A22" s="863"/>
      <c r="B22" s="864"/>
      <c r="C22" s="863"/>
      <c r="D22" s="863"/>
      <c r="E22" s="863"/>
      <c r="F22" s="863"/>
      <c r="G22" s="863"/>
      <c r="H22" s="863"/>
      <c r="I22" s="863"/>
      <c r="J22" s="863"/>
      <c r="K22" s="863"/>
      <c r="L22" s="865" t="s">
        <v>680</v>
      </c>
      <c r="M22" s="863"/>
      <c r="N22" s="863"/>
    </row>
    <row r="23" spans="1:17" ht="14.4" thickBot="1">
      <c r="A23" s="863"/>
      <c r="B23" s="863"/>
      <c r="C23" s="863"/>
      <c r="D23" s="863"/>
      <c r="E23" s="863"/>
      <c r="F23" s="863"/>
      <c r="G23" s="863" t="s">
        <v>73</v>
      </c>
      <c r="H23" s="863"/>
      <c r="I23" s="863"/>
      <c r="J23" s="863" t="s">
        <v>73</v>
      </c>
      <c r="K23" s="863"/>
      <c r="L23" s="866" t="s">
        <v>681</v>
      </c>
      <c r="M23" s="863"/>
      <c r="N23" s="863"/>
    </row>
    <row r="24" spans="1:17" ht="13.8">
      <c r="A24" s="863"/>
      <c r="B24" s="867" t="s">
        <v>682</v>
      </c>
      <c r="C24" s="868" t="s">
        <v>683</v>
      </c>
      <c r="D24" s="868" t="s">
        <v>684</v>
      </c>
      <c r="E24" s="868" t="s">
        <v>685</v>
      </c>
      <c r="F24" s="868" t="s">
        <v>686</v>
      </c>
      <c r="G24" s="868" t="s">
        <v>687</v>
      </c>
      <c r="H24" s="868" t="s">
        <v>688</v>
      </c>
      <c r="I24" s="868" t="s">
        <v>689</v>
      </c>
      <c r="J24" s="868" t="s">
        <v>690</v>
      </c>
      <c r="K24" s="869" t="s">
        <v>691</v>
      </c>
      <c r="L24" s="866" t="s">
        <v>692</v>
      </c>
      <c r="M24" s="863"/>
      <c r="N24" s="863"/>
    </row>
    <row r="25" spans="1:17" ht="14.4">
      <c r="A25" s="863">
        <v>2</v>
      </c>
      <c r="B25" s="870" t="s">
        <v>693</v>
      </c>
      <c r="C25" s="871" t="s">
        <v>694</v>
      </c>
      <c r="D25" s="872">
        <v>38</v>
      </c>
      <c r="E25" s="873">
        <f>2543.72*1.02</f>
        <v>2594.5944</v>
      </c>
      <c r="F25" s="873">
        <f>+E25*12</f>
        <v>31135.132799999999</v>
      </c>
      <c r="G25" s="873">
        <f>+E25*0.92</f>
        <v>2387.026848</v>
      </c>
      <c r="H25" s="873">
        <f>+E25/2</f>
        <v>1297.2972</v>
      </c>
      <c r="I25" s="873">
        <f>+(F25+H25)*0.26</f>
        <v>8432.4318000000003</v>
      </c>
      <c r="J25" s="873"/>
      <c r="K25" s="873">
        <f>SUM(F25:J25)</f>
        <v>43251.888648</v>
      </c>
      <c r="L25" s="872">
        <f>+(F25+G25+H25+I25)*1.05</f>
        <v>45414.483080400001</v>
      </c>
      <c r="M25" s="863"/>
      <c r="N25" s="863"/>
      <c r="Q25">
        <v>56000</v>
      </c>
    </row>
    <row r="26" spans="1:17" ht="14.4">
      <c r="A26" s="863">
        <v>7</v>
      </c>
      <c r="B26" s="870" t="s">
        <v>695</v>
      </c>
      <c r="C26" s="871" t="s">
        <v>696</v>
      </c>
      <c r="D26" s="872">
        <v>19</v>
      </c>
      <c r="E26" s="873">
        <f>1271.86*1.02</f>
        <v>1297.2972</v>
      </c>
      <c r="F26" s="873">
        <f>+E26*12</f>
        <v>15567.5664</v>
      </c>
      <c r="G26" s="873">
        <f>+E26*0.92</f>
        <v>1193.513424</v>
      </c>
      <c r="H26" s="873">
        <f>+E26/2</f>
        <v>648.64859999999999</v>
      </c>
      <c r="I26" s="873">
        <f>+(F26+H26)*0.26</f>
        <v>4216.2159000000001</v>
      </c>
      <c r="J26" s="873">
        <f>+(1.523 *3)*48</f>
        <v>219.31200000000001</v>
      </c>
      <c r="K26" s="873">
        <f>SUM(F26:J26)</f>
        <v>21845.256324000002</v>
      </c>
      <c r="L26" s="872">
        <f>+(F26+G26+H26+I26)*1.05</f>
        <v>22707.241540200001</v>
      </c>
      <c r="M26" s="863"/>
      <c r="N26" s="863"/>
      <c r="O26">
        <f>P26/12</f>
        <v>3095.2380952380954</v>
      </c>
      <c r="P26">
        <f>Q26/1.4</f>
        <v>37142.857142857145</v>
      </c>
      <c r="Q26">
        <v>52000</v>
      </c>
    </row>
    <row r="27" spans="1:17" ht="14.4">
      <c r="A27" s="863">
        <v>47</v>
      </c>
      <c r="B27" s="870" t="s">
        <v>697</v>
      </c>
      <c r="C27" s="871" t="s">
        <v>698</v>
      </c>
      <c r="D27" s="872">
        <v>19</v>
      </c>
      <c r="E27" s="873">
        <f>1190.68*1.02</f>
        <v>1214.4936</v>
      </c>
      <c r="F27" s="873">
        <f>+E27*12</f>
        <v>14573.923200000001</v>
      </c>
      <c r="G27" s="873">
        <f>(E27*0.92)</f>
        <v>1117.334112</v>
      </c>
      <c r="H27" s="873">
        <f>+E27/2</f>
        <v>607.24680000000001</v>
      </c>
      <c r="I27" s="873">
        <f>+(F27+H27)*0.26</f>
        <v>3947.1042000000007</v>
      </c>
      <c r="J27" s="873">
        <f>+(5.8153 *3)*48</f>
        <v>837.40319999999997</v>
      </c>
      <c r="K27" s="873">
        <f>SUM(F27:J27)</f>
        <v>21083.011512000005</v>
      </c>
      <c r="L27" s="872">
        <f>+(F27+G27+H27+I27)*1.05</f>
        <v>21257.888727600006</v>
      </c>
      <c r="M27" s="863"/>
      <c r="N27" s="863"/>
    </row>
    <row r="28" spans="1:17" ht="13.8">
      <c r="A28" s="863"/>
      <c r="B28" s="863"/>
      <c r="C28" s="863"/>
      <c r="D28" s="863"/>
      <c r="E28" s="863"/>
      <c r="F28" s="863"/>
      <c r="G28" s="863"/>
      <c r="H28" s="863"/>
      <c r="I28" s="863"/>
      <c r="J28" s="863"/>
      <c r="K28" s="863"/>
      <c r="L28" s="863"/>
      <c r="M28" s="863"/>
      <c r="N28" s="863"/>
    </row>
    <row r="29" spans="1:17" ht="14.4" thickBot="1">
      <c r="A29" s="863"/>
      <c r="B29" s="863"/>
      <c r="C29" s="863"/>
      <c r="D29" s="863"/>
      <c r="E29" s="863"/>
      <c r="F29" s="863"/>
      <c r="G29" s="863"/>
      <c r="H29" s="863"/>
      <c r="I29" s="863"/>
      <c r="J29" s="863"/>
      <c r="K29" s="863"/>
      <c r="L29" s="863"/>
      <c r="M29" s="863"/>
      <c r="N29" s="863"/>
    </row>
    <row r="30" spans="1:17" ht="15" thickBot="1">
      <c r="A30" s="863"/>
      <c r="B30" s="874" t="s">
        <v>699</v>
      </c>
      <c r="C30" s="875" t="s">
        <v>700</v>
      </c>
      <c r="D30" s="875">
        <v>19</v>
      </c>
      <c r="E30" s="876">
        <f>1190.68*1.02</f>
        <v>1214.4936</v>
      </c>
      <c r="F30" s="876">
        <f>+E30*12</f>
        <v>14573.923200000001</v>
      </c>
      <c r="G30" s="876">
        <f>(E30*0.92)</f>
        <v>1117.334112</v>
      </c>
      <c r="H30" s="876">
        <f>+E30/2</f>
        <v>607.24680000000001</v>
      </c>
      <c r="I30" s="876">
        <f>+(F30+H30)*0.26</f>
        <v>3947.1042000000007</v>
      </c>
      <c r="J30" s="876" t="s">
        <v>73</v>
      </c>
      <c r="K30" s="877">
        <f>SUM(F30:J30)</f>
        <v>20245.608312000004</v>
      </c>
      <c r="L30" s="872">
        <f>+(F30+G30+H30+I30)*1.05</f>
        <v>21257.888727600006</v>
      </c>
      <c r="M30" s="863"/>
      <c r="N30" s="863"/>
    </row>
    <row r="31" spans="1:17" ht="13.8">
      <c r="A31" s="878" t="s">
        <v>73</v>
      </c>
      <c r="B31" s="863" t="s">
        <v>73</v>
      </c>
      <c r="C31" s="863"/>
      <c r="D31" s="863"/>
      <c r="E31" s="863"/>
      <c r="F31" s="863"/>
      <c r="G31" s="863"/>
      <c r="H31" s="863"/>
      <c r="I31" s="863"/>
      <c r="J31" s="863"/>
      <c r="K31" s="863"/>
      <c r="L31" s="863"/>
      <c r="M31" s="863"/>
      <c r="N31" s="863"/>
    </row>
    <row r="32" spans="1:17" ht="13.8">
      <c r="A32" s="878" t="s">
        <v>701</v>
      </c>
      <c r="B32" s="863" t="s">
        <v>702</v>
      </c>
      <c r="C32" s="863"/>
      <c r="D32" s="863"/>
      <c r="E32" s="863"/>
      <c r="F32" s="863"/>
      <c r="G32" s="863"/>
      <c r="H32" s="863"/>
      <c r="I32" s="863"/>
      <c r="J32" s="863"/>
      <c r="K32" s="863"/>
      <c r="L32" s="863"/>
      <c r="M32" s="863"/>
      <c r="N32" s="863"/>
    </row>
    <row r="33" spans="1:14" ht="13.8">
      <c r="A33" s="863"/>
      <c r="B33" s="863"/>
      <c r="C33" s="863"/>
      <c r="D33" s="863"/>
      <c r="E33" s="863"/>
      <c r="F33" s="863"/>
      <c r="G33" s="863"/>
      <c r="H33" s="863"/>
      <c r="I33" s="863"/>
      <c r="J33" s="863"/>
      <c r="K33" s="863"/>
      <c r="L33" s="863"/>
      <c r="M33" s="863"/>
      <c r="N33" s="863"/>
    </row>
    <row r="34" spans="1:14" ht="13.8">
      <c r="A34" s="863"/>
      <c r="B34" s="863"/>
      <c r="C34" s="863"/>
      <c r="D34" s="863"/>
      <c r="E34" s="863"/>
      <c r="F34" s="863"/>
      <c r="G34" s="863"/>
      <c r="H34" s="863"/>
      <c r="I34" s="863"/>
      <c r="J34" s="863"/>
      <c r="K34" s="863"/>
      <c r="L34" s="863"/>
      <c r="M34" s="863"/>
      <c r="N34" s="863"/>
    </row>
    <row r="35" spans="1:14" ht="13.8">
      <c r="A35" s="863"/>
      <c r="B35" s="863"/>
      <c r="C35" s="863"/>
      <c r="D35" s="863"/>
      <c r="E35" s="863"/>
      <c r="F35" s="863"/>
      <c r="G35" s="863"/>
      <c r="H35" s="863"/>
      <c r="I35" s="863"/>
      <c r="J35" s="863"/>
      <c r="K35" s="863"/>
      <c r="L35" s="863"/>
      <c r="M35" s="863"/>
      <c r="N35" s="863"/>
    </row>
    <row r="36" spans="1:14" ht="13.8">
      <c r="A36" s="863"/>
      <c r="B36" s="863"/>
      <c r="C36" s="863"/>
      <c r="D36" s="863"/>
      <c r="E36" s="863"/>
      <c r="F36" s="863"/>
      <c r="G36" s="863"/>
      <c r="H36" s="863"/>
      <c r="I36" s="863"/>
      <c r="J36" s="863"/>
      <c r="K36" s="863"/>
      <c r="L36" s="863"/>
      <c r="M36" s="863"/>
      <c r="N36" s="863"/>
    </row>
    <row r="37" spans="1:14" ht="13.8">
      <c r="A37" s="863"/>
      <c r="B37" s="863" t="s">
        <v>782</v>
      </c>
      <c r="C37" s="863"/>
      <c r="D37" s="863"/>
      <c r="E37" s="863"/>
      <c r="F37" s="863"/>
      <c r="G37" s="863"/>
      <c r="H37" s="863"/>
      <c r="I37" s="863"/>
      <c r="J37" s="863"/>
      <c r="K37" s="863"/>
      <c r="L37" s="863"/>
      <c r="M37" s="863"/>
      <c r="N37" s="863"/>
    </row>
    <row r="38" spans="1:14" ht="13.8">
      <c r="A38" s="863"/>
      <c r="B38" s="863" t="s">
        <v>783</v>
      </c>
      <c r="C38" s="863"/>
      <c r="D38" s="863"/>
      <c r="E38" s="863"/>
      <c r="F38" s="863"/>
      <c r="G38" s="863"/>
      <c r="H38" s="863"/>
      <c r="I38" s="863"/>
      <c r="J38" s="863"/>
      <c r="K38" s="863"/>
      <c r="L38" s="863"/>
      <c r="M38" s="863"/>
      <c r="N38" s="863"/>
    </row>
    <row r="39" spans="1:14" ht="13.8">
      <c r="A39" s="863"/>
      <c r="B39" s="863" t="s">
        <v>784</v>
      </c>
      <c r="C39" s="863"/>
      <c r="D39" s="863"/>
      <c r="E39" s="863"/>
      <c r="F39" s="863"/>
      <c r="G39" s="863"/>
      <c r="H39" s="863"/>
      <c r="I39" s="863"/>
      <c r="J39" s="863"/>
      <c r="K39" s="863"/>
      <c r="L39" s="863"/>
      <c r="M39" s="863"/>
      <c r="N39" s="863"/>
    </row>
    <row r="40" spans="1:14" ht="13.8">
      <c r="A40" s="863"/>
      <c r="B40" s="863" t="s">
        <v>785</v>
      </c>
      <c r="C40" s="863"/>
      <c r="D40" s="863"/>
      <c r="E40" s="863"/>
      <c r="F40" s="863"/>
      <c r="G40" s="863"/>
      <c r="H40" s="863"/>
      <c r="I40" s="863"/>
      <c r="J40" s="863"/>
      <c r="K40" s="863"/>
      <c r="L40" s="863"/>
      <c r="M40" s="863"/>
      <c r="N40" s="863"/>
    </row>
    <row r="41" spans="1:14" ht="13.8">
      <c r="A41" s="863"/>
      <c r="B41" s="863" t="s">
        <v>786</v>
      </c>
      <c r="C41" s="863"/>
      <c r="D41" s="863"/>
      <c r="E41" s="863"/>
      <c r="F41" s="863"/>
      <c r="G41" s="863"/>
      <c r="H41" s="863"/>
      <c r="I41" s="863"/>
      <c r="J41" s="863"/>
      <c r="K41" s="863"/>
      <c r="L41" s="863"/>
      <c r="M41" s="863"/>
      <c r="N41" s="863"/>
    </row>
    <row r="42" spans="1:14" ht="13.8">
      <c r="A42" s="863"/>
      <c r="B42" s="863" t="s">
        <v>787</v>
      </c>
      <c r="C42" s="863"/>
      <c r="D42" s="863"/>
      <c r="E42" s="863"/>
      <c r="F42" s="863"/>
      <c r="G42" s="863"/>
      <c r="H42" s="863"/>
      <c r="I42" s="863"/>
      <c r="J42" s="863"/>
      <c r="K42" s="863"/>
      <c r="L42" s="863"/>
      <c r="M42" s="863"/>
      <c r="N42" s="863"/>
    </row>
    <row r="43" spans="1:14" ht="13.8">
      <c r="A43" s="863"/>
      <c r="B43" s="863" t="s">
        <v>788</v>
      </c>
      <c r="C43" s="863"/>
      <c r="D43" s="863"/>
      <c r="E43" s="863"/>
      <c r="F43" s="863"/>
      <c r="G43" s="863"/>
      <c r="H43" s="863"/>
      <c r="I43" s="863"/>
      <c r="J43" s="863"/>
      <c r="K43" s="863"/>
      <c r="L43" s="863"/>
      <c r="M43" s="863"/>
      <c r="N43" s="863"/>
    </row>
    <row r="44" spans="1:14" ht="13.8">
      <c r="A44" s="863"/>
      <c r="B44" s="863" t="s">
        <v>789</v>
      </c>
      <c r="C44" s="863"/>
      <c r="D44" s="863"/>
      <c r="E44" s="863"/>
      <c r="F44" s="863"/>
      <c r="G44" s="863"/>
      <c r="H44" s="863"/>
      <c r="I44" s="863"/>
      <c r="J44" s="863"/>
      <c r="K44" s="863"/>
      <c r="L44" s="863"/>
      <c r="M44" s="863"/>
      <c r="N44" s="863"/>
    </row>
    <row r="45" spans="1:14" ht="13.8">
      <c r="A45" s="863"/>
      <c r="B45" s="863" t="s">
        <v>790</v>
      </c>
      <c r="C45" s="863"/>
      <c r="D45" s="863"/>
      <c r="E45" s="863"/>
      <c r="F45" s="863"/>
      <c r="G45" s="863"/>
      <c r="H45" s="863"/>
      <c r="I45" s="863"/>
      <c r="J45" s="863"/>
      <c r="K45" s="863"/>
      <c r="L45" s="863"/>
      <c r="M45" s="863"/>
      <c r="N45" s="863"/>
    </row>
    <row r="46" spans="1:14" ht="13.8">
      <c r="A46" s="863"/>
      <c r="B46" s="863" t="s">
        <v>791</v>
      </c>
      <c r="C46" s="863"/>
      <c r="D46" s="863"/>
      <c r="E46" s="863"/>
      <c r="F46" s="863"/>
      <c r="G46" s="863"/>
      <c r="H46" s="863"/>
      <c r="I46" s="863"/>
      <c r="J46" s="863"/>
      <c r="K46" s="863"/>
      <c r="L46" s="863"/>
      <c r="M46" s="863"/>
      <c r="N46" s="863"/>
    </row>
  </sheetData>
  <mergeCells count="6">
    <mergeCell ref="A1:A2"/>
    <mergeCell ref="B1:L1"/>
    <mergeCell ref="A7:A8"/>
    <mergeCell ref="B7:L7"/>
    <mergeCell ref="B13:L13"/>
    <mergeCell ref="A13:A14"/>
  </mergeCells>
  <conditionalFormatting sqref="B2:L2">
    <cfRule type="containsErrors" dxfId="20" priority="9">
      <formula>ISERROR(B2)</formula>
    </cfRule>
  </conditionalFormatting>
  <conditionalFormatting sqref="A1 A3:A5">
    <cfRule type="containsErrors" dxfId="19" priority="8">
      <formula>ISERROR(A1)</formula>
    </cfRule>
  </conditionalFormatting>
  <conditionalFormatting sqref="B1">
    <cfRule type="containsErrors" dxfId="18" priority="7">
      <formula>ISERROR(B1)</formula>
    </cfRule>
  </conditionalFormatting>
  <conditionalFormatting sqref="A7 A9:A11">
    <cfRule type="containsErrors" dxfId="17" priority="6">
      <formula>ISERROR(A7)</formula>
    </cfRule>
  </conditionalFormatting>
  <conditionalFormatting sqref="B7">
    <cfRule type="containsErrors" dxfId="16" priority="5">
      <formula>ISERROR(B7)</formula>
    </cfRule>
  </conditionalFormatting>
  <conditionalFormatting sqref="B8:L8">
    <cfRule type="containsErrors" dxfId="15" priority="4">
      <formula>ISERROR(B8)</formula>
    </cfRule>
  </conditionalFormatting>
  <conditionalFormatting sqref="B14:L14">
    <cfRule type="containsErrors" dxfId="14" priority="3">
      <formula>ISERROR(B14)</formula>
    </cfRule>
  </conditionalFormatting>
  <conditionalFormatting sqref="A13 A15:A17">
    <cfRule type="containsErrors" dxfId="13" priority="2">
      <formula>ISERROR(A13)</formula>
    </cfRule>
  </conditionalFormatting>
  <conditionalFormatting sqref="B13">
    <cfRule type="containsErrors" dxfId="12" priority="1">
      <formula>ISERROR(B13)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8</vt:i4>
      </vt:variant>
    </vt:vector>
  </HeadingPairs>
  <TitlesOfParts>
    <vt:vector size="21" baseType="lpstr">
      <vt:lpstr>Remarques préalables</vt:lpstr>
      <vt:lpstr>Charges</vt:lpstr>
      <vt:lpstr>Produits</vt:lpstr>
      <vt:lpstr>Check Budget simplifié (2)</vt:lpstr>
      <vt:lpstr>Calendrier</vt:lpstr>
      <vt:lpstr>Budget simplifié</vt:lpstr>
      <vt:lpstr>VENTES PASSEES</vt:lpstr>
      <vt:lpstr>PROJECTIONS</vt:lpstr>
      <vt:lpstr>BAREMES UTILISES</vt:lpstr>
      <vt:lpstr>Métiers</vt:lpstr>
      <vt:lpstr>GIEC</vt:lpstr>
      <vt:lpstr>22 histoires au coin de la rue</vt:lpstr>
      <vt:lpstr>Test salaire</vt:lpstr>
      <vt:lpstr>'22 histoires au coin de la rue'!Zone_d_impression</vt:lpstr>
      <vt:lpstr>'Budget simplifié'!Zone_d_impression</vt:lpstr>
      <vt:lpstr>Calendrier!Zone_d_impression</vt:lpstr>
      <vt:lpstr>Charges!Zone_d_impression</vt:lpstr>
      <vt:lpstr>'Check Budget simplifié (2)'!Zone_d_impression</vt:lpstr>
      <vt:lpstr>GIEC!Zone_d_impression</vt:lpstr>
      <vt:lpstr>Métiers!Zone_d_impression</vt:lpstr>
      <vt:lpstr>Produits!Zone_d_impression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Van Slijpe</dc:creator>
  <cp:lastModifiedBy>Jean Louyest</cp:lastModifiedBy>
  <cp:lastPrinted>2022-11-25T15:47:29Z</cp:lastPrinted>
  <dcterms:created xsi:type="dcterms:W3CDTF">2020-11-23T11:54:27Z</dcterms:created>
  <dcterms:modified xsi:type="dcterms:W3CDTF">2022-11-27T23:11:40Z</dcterms:modified>
</cp:coreProperties>
</file>